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lctorg.sharepoint.com/sites/mos/Shared Documents/MOS/CHIP/VLCT CHIP Tools/Published Tools-Resources/"/>
    </mc:Choice>
  </mc:AlternateContent>
  <xr:revisionPtr revIDLastSave="126" documentId="8_{015EEAD9-D46B-4E60-BF23-3B835342DCE6}" xr6:coauthVersionLast="47" xr6:coauthVersionMax="47" xr10:uidLastSave="{DDCFBE46-900C-4459-8F3E-045DB34EA115}"/>
  <bookViews>
    <workbookView xWindow="-120" yWindow="-120" windowWidth="29040" windowHeight="15720" activeTab="5" xr2:uid="{00000000-000D-0000-FFFF-FFFF00000000}"/>
  </bookViews>
  <sheets>
    <sheet name="Read Me" sheetId="1" r:id="rId1"/>
    <sheet name="Project Inputs" sheetId="2" r:id="rId2"/>
    <sheet name="Comparables" sheetId="3" r:id="rId3"/>
    <sheet name="Valuation Review" sheetId="4" r:id="rId4"/>
    <sheet name="Tax Increment" sheetId="5" r:id="rId5"/>
    <sheet name="Stress Test" sheetId="6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3" l="1"/>
  <c r="B19" i="6"/>
  <c r="B18" i="6"/>
  <c r="B17" i="6"/>
  <c r="B16" i="6"/>
  <c r="B11" i="6"/>
  <c r="D11" i="6" s="1"/>
  <c r="F11" i="6" s="1"/>
  <c r="B10" i="6"/>
  <c r="H10" i="6" s="1"/>
  <c r="B9" i="6"/>
  <c r="C9" i="6" s="1"/>
  <c r="B8" i="6"/>
  <c r="H8" i="6" s="1"/>
  <c r="B7" i="6"/>
  <c r="C7" i="6" s="1"/>
  <c r="B6" i="6"/>
  <c r="H6" i="6" s="1"/>
  <c r="A24" i="5"/>
  <c r="A23" i="5"/>
  <c r="D23" i="5" s="1"/>
  <c r="A22" i="5"/>
  <c r="D22" i="5" s="1"/>
  <c r="A21" i="5"/>
  <c r="E21" i="5" s="1"/>
  <c r="A20" i="5"/>
  <c r="A19" i="5"/>
  <c r="B19" i="5" s="1"/>
  <c r="C19" i="5" s="1"/>
  <c r="A18" i="5"/>
  <c r="E18" i="5" s="1"/>
  <c r="A17" i="5"/>
  <c r="B17" i="5" s="1"/>
  <c r="C17" i="5" s="1"/>
  <c r="A16" i="5"/>
  <c r="D16" i="5" s="1"/>
  <c r="A15" i="5"/>
  <c r="E15" i="5" s="1"/>
  <c r="A14" i="5"/>
  <c r="E14" i="5" s="1"/>
  <c r="A13" i="5"/>
  <c r="A12" i="5"/>
  <c r="B12" i="5" s="1"/>
  <c r="C12" i="5" s="1"/>
  <c r="A11" i="5"/>
  <c r="B11" i="5" s="1"/>
  <c r="C11" i="5" s="1"/>
  <c r="A10" i="5"/>
  <c r="E10" i="5" s="1"/>
  <c r="A9" i="5"/>
  <c r="D9" i="5" s="1"/>
  <c r="A8" i="5"/>
  <c r="E8" i="5" s="1"/>
  <c r="A7" i="5"/>
  <c r="D7" i="5" s="1"/>
  <c r="A6" i="5"/>
  <c r="B6" i="5" s="1"/>
  <c r="C6" i="5" s="1"/>
  <c r="A5" i="5"/>
  <c r="B5" i="5" s="1"/>
  <c r="C5" i="5" s="1"/>
  <c r="B5" i="4"/>
  <c r="B23" i="4" s="1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B24" i="3" l="1"/>
  <c r="B23" i="3"/>
  <c r="B10" i="4" s="1"/>
  <c r="B11" i="4" s="1"/>
  <c r="B22" i="3"/>
  <c r="B21" i="3"/>
  <c r="B19" i="3"/>
  <c r="B8" i="4" s="1"/>
  <c r="B9" i="4" s="1"/>
  <c r="B20" i="3"/>
  <c r="B24" i="4"/>
  <c r="D9" i="6"/>
  <c r="E9" i="6" s="1"/>
  <c r="H7" i="6"/>
  <c r="B7" i="4"/>
  <c r="D19" i="5"/>
  <c r="F19" i="5" s="1"/>
  <c r="H19" i="5" s="1"/>
  <c r="E19" i="5"/>
  <c r="G19" i="5" s="1"/>
  <c r="I19" i="5" s="1"/>
  <c r="C10" i="6"/>
  <c r="E12" i="5"/>
  <c r="G12" i="5" s="1"/>
  <c r="I12" i="5" s="1"/>
  <c r="B21" i="5"/>
  <c r="C21" i="5" s="1"/>
  <c r="G21" i="5" s="1"/>
  <c r="I21" i="5" s="1"/>
  <c r="E5" i="5"/>
  <c r="G5" i="5" s="1"/>
  <c r="I5" i="5" s="1"/>
  <c r="B15" i="5"/>
  <c r="C15" i="5" s="1"/>
  <c r="E23" i="5"/>
  <c r="D10" i="6"/>
  <c r="F10" i="6" s="1"/>
  <c r="E16" i="5"/>
  <c r="H11" i="6"/>
  <c r="D5" i="5"/>
  <c r="F5" i="5" s="1"/>
  <c r="H5" i="5" s="1"/>
  <c r="C6" i="6"/>
  <c r="D12" i="5"/>
  <c r="F12" i="5" s="1"/>
  <c r="H12" i="5" s="1"/>
  <c r="D6" i="6"/>
  <c r="F6" i="6" s="1"/>
  <c r="H9" i="6"/>
  <c r="E9" i="5"/>
  <c r="D7" i="6"/>
  <c r="E7" i="6" s="1"/>
  <c r="E20" i="5"/>
  <c r="D20" i="5"/>
  <c r="B20" i="5"/>
  <c r="C20" i="5" s="1"/>
  <c r="E22" i="5"/>
  <c r="E7" i="5"/>
  <c r="D11" i="5"/>
  <c r="F11" i="5" s="1"/>
  <c r="H11" i="5" s="1"/>
  <c r="B22" i="5"/>
  <c r="C22" i="5" s="1"/>
  <c r="E24" i="5"/>
  <c r="D24" i="5"/>
  <c r="B24" i="5"/>
  <c r="C24" i="5" s="1"/>
  <c r="D8" i="5"/>
  <c r="D18" i="5"/>
  <c r="E11" i="5"/>
  <c r="G11" i="5" s="1"/>
  <c r="I11" i="5" s="1"/>
  <c r="B8" i="5"/>
  <c r="C8" i="5" s="1"/>
  <c r="B18" i="5"/>
  <c r="C18" i="5" s="1"/>
  <c r="E6" i="5"/>
  <c r="G6" i="5" s="1"/>
  <c r="I6" i="5" s="1"/>
  <c r="D6" i="5"/>
  <c r="F6" i="5" s="1"/>
  <c r="H6" i="5" s="1"/>
  <c r="B14" i="5"/>
  <c r="C14" i="5" s="1"/>
  <c r="B10" i="5"/>
  <c r="C10" i="5" s="1"/>
  <c r="E11" i="6"/>
  <c r="G11" i="6" s="1"/>
  <c r="D14" i="5"/>
  <c r="D8" i="6"/>
  <c r="C8" i="6"/>
  <c r="D10" i="5"/>
  <c r="D15" i="5"/>
  <c r="D21" i="5"/>
  <c r="B7" i="5"/>
  <c r="C7" i="5" s="1"/>
  <c r="E17" i="5"/>
  <c r="G17" i="5" s="1"/>
  <c r="I17" i="5" s="1"/>
  <c r="D17" i="5"/>
  <c r="F17" i="5" s="1"/>
  <c r="H17" i="5" s="1"/>
  <c r="B6" i="4"/>
  <c r="E13" i="5"/>
  <c r="D13" i="5"/>
  <c r="B13" i="5"/>
  <c r="C13" i="5" s="1"/>
  <c r="B9" i="5"/>
  <c r="C9" i="5" s="1"/>
  <c r="B16" i="5"/>
  <c r="C16" i="5" s="1"/>
  <c r="B23" i="5"/>
  <c r="C23" i="5" s="1"/>
  <c r="C11" i="6"/>
  <c r="J17" i="5" l="1"/>
  <c r="J12" i="5"/>
  <c r="J19" i="5"/>
  <c r="J6" i="5"/>
  <c r="J5" i="5"/>
  <c r="J11" i="5"/>
  <c r="F15" i="5"/>
  <c r="H15" i="5" s="1"/>
  <c r="B17" i="4"/>
  <c r="F9" i="6"/>
  <c r="G9" i="6" s="1"/>
  <c r="F21" i="5"/>
  <c r="H21" i="5" s="1"/>
  <c r="J21" i="5" s="1"/>
  <c r="G15" i="5"/>
  <c r="I15" i="5" s="1"/>
  <c r="F7" i="6"/>
  <c r="G7" i="6" s="1"/>
  <c r="E10" i="6"/>
  <c r="G10" i="6" s="1"/>
  <c r="B15" i="4"/>
  <c r="B16" i="4"/>
  <c r="E6" i="6"/>
  <c r="G6" i="6" s="1"/>
  <c r="F14" i="5"/>
  <c r="H14" i="5" s="1"/>
  <c r="G14" i="5"/>
  <c r="I14" i="5" s="1"/>
  <c r="G10" i="5"/>
  <c r="I10" i="5" s="1"/>
  <c r="F10" i="5"/>
  <c r="H10" i="5" s="1"/>
  <c r="F23" i="5"/>
  <c r="H23" i="5" s="1"/>
  <c r="G23" i="5"/>
  <c r="I23" i="5" s="1"/>
  <c r="F20" i="5"/>
  <c r="H20" i="5" s="1"/>
  <c r="G20" i="5"/>
  <c r="I20" i="5" s="1"/>
  <c r="F16" i="5"/>
  <c r="H16" i="5" s="1"/>
  <c r="G16" i="5"/>
  <c r="I16" i="5" s="1"/>
  <c r="F13" i="5"/>
  <c r="H13" i="5" s="1"/>
  <c r="G13" i="5"/>
  <c r="I13" i="5" s="1"/>
  <c r="F9" i="5"/>
  <c r="H9" i="5" s="1"/>
  <c r="G9" i="5"/>
  <c r="I9" i="5" s="1"/>
  <c r="F8" i="6"/>
  <c r="E8" i="6"/>
  <c r="G7" i="5"/>
  <c r="I7" i="5" s="1"/>
  <c r="F7" i="5"/>
  <c r="H7" i="5" s="1"/>
  <c r="G24" i="5"/>
  <c r="I24" i="5" s="1"/>
  <c r="F24" i="5"/>
  <c r="H24" i="5" s="1"/>
  <c r="J24" i="5" s="1"/>
  <c r="G22" i="5"/>
  <c r="I22" i="5" s="1"/>
  <c r="F22" i="5"/>
  <c r="H22" i="5" s="1"/>
  <c r="G18" i="5"/>
  <c r="I18" i="5" s="1"/>
  <c r="F18" i="5"/>
  <c r="H18" i="5" s="1"/>
  <c r="G8" i="5"/>
  <c r="I8" i="5" s="1"/>
  <c r="F8" i="5"/>
  <c r="H8" i="5" s="1"/>
  <c r="B28" i="5" l="1"/>
  <c r="B29" i="5"/>
  <c r="J8" i="5"/>
  <c r="J13" i="5"/>
  <c r="J18" i="5"/>
  <c r="J14" i="5"/>
  <c r="J22" i="5"/>
  <c r="J9" i="5"/>
  <c r="J16" i="5"/>
  <c r="J20" i="5"/>
  <c r="J15" i="5"/>
  <c r="J23" i="5"/>
  <c r="J10" i="5"/>
  <c r="J7" i="5"/>
  <c r="G8" i="6"/>
  <c r="B30" i="5" l="1"/>
  <c r="C16" i="6"/>
  <c r="D16" i="6" s="1"/>
  <c r="C17" i="6" l="1"/>
  <c r="D17" i="6" s="1"/>
  <c r="C18" i="6"/>
  <c r="D18" i="6" s="1"/>
  <c r="C19" i="6"/>
  <c r="D19" i="6" s="1"/>
</calcChain>
</file>

<file path=xl/sharedStrings.xml><?xml version="1.0" encoding="utf-8"?>
<sst xmlns="http://schemas.openxmlformats.org/spreadsheetml/2006/main" count="135" uniqueCount="135">
  <si>
    <t>CHIP Tax Increment Reality Check</t>
  </si>
  <si>
    <t>Planning worksheet for reviewing projected assessed value and tax increment</t>
  </si>
  <si>
    <t>1. Enter project facts and tax/retention assumptions on Project Inputs.</t>
  </si>
  <si>
    <t>2. Enter 3-10 comparable properties on Comparables.</t>
  </si>
  <si>
    <t>3. Review implied value ranges on Valuation Review and select a municipal planning case.</t>
  </si>
  <si>
    <t>4. Review annual estimated increment on Tax Increment.</t>
  </si>
  <si>
    <t>5. Use Stress Test to see how lower value or delayed completion affects retained increment.</t>
  </si>
  <si>
    <t>6. Save the workbook with the municipal record and note the evidence used.</t>
  </si>
  <si>
    <t>• This workbook is a decision-support tool, not an appraisal and not a substitute for the municipality's statutory assessment process.</t>
  </si>
  <si>
    <t>• Actual tax increment depends on future certified assessed values, tax rates, timing, retention percentages, and other program requirements.</t>
  </si>
  <si>
    <t>• Use current VEPC/Department of Taxes guidance and municipal counsel/financial advisers as appropriate before incurring debt or making binding commitments.</t>
  </si>
  <si>
    <t>• Values and tax rates in the workbook are user inputs. No current tax rate is hardcoded.</t>
  </si>
  <si>
    <t>24 V.S.A. § 1910 - CHIP application and tax increment financing plan</t>
  </si>
  <si>
    <t>https://legislature.vermont.gov/statutes/section/24/053/01910</t>
  </si>
  <si>
    <t>24 V.S.A. § 1910b - Original taxable value; tax increment</t>
  </si>
  <si>
    <t>https://legislature.vermont.gov/statutes/section/24/053/01910b</t>
  </si>
  <si>
    <t>24 V.S.A. § 1910c - Use of tax increment; retention period</t>
  </si>
  <si>
    <t>https://legislature.vermont.gov/statutes/section/24/053/01910c</t>
  </si>
  <si>
    <t>Project Inputs</t>
  </si>
  <si>
    <t>Yellow cells are user inputs. Keep source notes/comments with the municipal record.</t>
  </si>
  <si>
    <t>Project name</t>
  </si>
  <si>
    <t>Municipality</t>
  </si>
  <si>
    <t>Total units</t>
  </si>
  <si>
    <t>Gross building area (SF)</t>
  </si>
  <si>
    <t>Current/original taxable value</t>
  </si>
  <si>
    <t>Developer projected completed assessed value</t>
  </si>
  <si>
    <t>Expected completion year</t>
  </si>
  <si>
    <t>Municipal tax rate per $100 of value</t>
  </si>
  <si>
    <t>Education property tax rate per $100 of value</t>
  </si>
  <si>
    <t>Municipal increment retention %</t>
  </si>
  <si>
    <t>Education increment retention %</t>
  </si>
  <si>
    <t>First retention year</t>
  </si>
  <si>
    <t>Retention years</t>
  </si>
  <si>
    <t>Municipal planning value selected</t>
  </si>
  <si>
    <t>Value growth after completion</t>
  </si>
  <si>
    <t>Tax-rate growth per year</t>
  </si>
  <si>
    <t>Completion delay (years)</t>
  </si>
  <si>
    <t>Comparable Properties</t>
  </si>
  <si>
    <t>Enter completed properties most relevant to the proposed development. Leave unused rows blank.</t>
  </si>
  <si>
    <t>Comparable</t>
  </si>
  <si>
    <t>Units</t>
  </si>
  <si>
    <t>Gross SF</t>
  </si>
  <si>
    <t>Year built</t>
  </si>
  <si>
    <t>Assessed value</t>
  </si>
  <si>
    <t>Sale price (optional)</t>
  </si>
  <si>
    <t>Value / unit</t>
  </si>
  <si>
    <t>Value / SF</t>
  </si>
  <si>
    <t>Notes / comparability</t>
  </si>
  <si>
    <t>Count of comparables</t>
  </si>
  <si>
    <t>Median assessed value / unit</t>
  </si>
  <si>
    <t>Average assessed value / unit</t>
  </si>
  <si>
    <t>Low assessed value / unit</t>
  </si>
  <si>
    <t>High assessed value / unit</t>
  </si>
  <si>
    <t>Median assessed value / SF</t>
  </si>
  <si>
    <t>Average assessed value / SF</t>
  </si>
  <si>
    <t>Valuation Review</t>
  </si>
  <si>
    <t>Cross-check the developer estimate against comparable-derived indicators and a municipal planning range.</t>
  </si>
  <si>
    <t>Developer projected value</t>
  </si>
  <si>
    <t>Developer value / unit</t>
  </si>
  <si>
    <t>Developer value / SF</t>
  </si>
  <si>
    <t>Comparable median value / unit</t>
  </si>
  <si>
    <t>Implied value from median $/unit</t>
  </si>
  <si>
    <t>Comparable median value / SF</t>
  </si>
  <si>
    <t>Implied value from median $/SF</t>
  </si>
  <si>
    <t>Comparable-supported low</t>
  </si>
  <si>
    <t>Comparable-supported midpoint</t>
  </si>
  <si>
    <t>Comparable-supported high</t>
  </si>
  <si>
    <t>Municipal conservative case</t>
  </si>
  <si>
    <t>Municipal expected case</t>
  </si>
  <si>
    <t>Municipal high case</t>
  </si>
  <si>
    <t>Developer estimate vs expected case</t>
  </si>
  <si>
    <t>Review flag</t>
  </si>
  <si>
    <t>Primary evidence relied on</t>
  </si>
  <si>
    <t>Major differences between project and comparables</t>
  </si>
  <si>
    <t>Assumptions that could reduce value</t>
  </si>
  <si>
    <t>Assumptions that could increase value</t>
  </si>
  <si>
    <t>Reason for municipal planning cases</t>
  </si>
  <si>
    <t>Need for expert second opinion?</t>
  </si>
  <si>
    <t>Annual Tax Increment Projection</t>
  </si>
  <si>
    <t>This schedule uses the municipal planning value and user-entered tax/retention assumptions.</t>
  </si>
  <si>
    <t>Year</t>
  </si>
  <si>
    <t>Stress Test</t>
  </si>
  <si>
    <t>Compare retained increment under lower completed values and completion delays.</t>
  </si>
  <si>
    <t>Scenario</t>
  </si>
  <si>
    <t>Flag</t>
  </si>
  <si>
    <t>Developer forecast</t>
  </si>
  <si>
    <t>10% below</t>
  </si>
  <si>
    <t>20% below</t>
  </si>
  <si>
    <t>30% below</t>
  </si>
  <si>
    <t>Municipal conservative</t>
  </si>
  <si>
    <t>Municipal expected</t>
  </si>
  <si>
    <t>Decision note</t>
  </si>
  <si>
    <t>Project Facts</t>
  </si>
  <si>
    <t>Tax and Retention Assumptions</t>
  </si>
  <si>
    <t>Model Controls</t>
  </si>
  <si>
    <t>Enter the length of the CHIP retention period</t>
  </si>
  <si>
    <t>Enter the applicable education increment retention percentage for the project., either 75% or 85%.</t>
  </si>
  <si>
    <t>How to Use This Workbook</t>
  </si>
  <si>
    <t>Important Limitations</t>
  </si>
  <si>
    <t>Source References</t>
  </si>
  <si>
    <t>Comparable Summary</t>
  </si>
  <si>
    <t>Enter a defensible downside value. A common starting point is the low end of supported evidence, adjusted for project-specific risk.</t>
  </si>
  <si>
    <t>Cross-Checks</t>
  </si>
  <si>
    <t>Municipal Planning Range</t>
  </si>
  <si>
    <t>Review Notes</t>
  </si>
  <si>
    <t>Location/Address</t>
  </si>
  <si>
    <t>Projected Assessed Value</t>
  </si>
  <si>
    <t>Excess Value Over Original</t>
  </si>
  <si>
    <t>Municipal Tax Rate / $100</t>
  </si>
  <si>
    <t>Education Tax Rate / $100</t>
  </si>
  <si>
    <t>Gross Municipal Increment</t>
  </si>
  <si>
    <t>Gross Education Increment</t>
  </si>
  <si>
    <t>Retained Municipal Increment</t>
  </si>
  <si>
    <t>Retained Education Increment</t>
  </si>
  <si>
    <t>Total Retained Increment</t>
  </si>
  <si>
    <t>Projection Totals</t>
  </si>
  <si>
    <t>Value Sensitivity</t>
  </si>
  <si>
    <t>Completed Value</t>
  </si>
  <si>
    <t>Change vs Developer</t>
  </si>
  <si>
    <t>Annual Gross Excess Value</t>
  </si>
  <si>
    <t>Year-1 Retained Municipal</t>
  </si>
  <si>
    <t>Year-1 Retained Education</t>
  </si>
  <si>
    <t>Year-1 Total Retained</t>
  </si>
  <si>
    <t>Completion Timing Sensitivity</t>
  </si>
  <si>
    <t>Delay (Years)</t>
  </si>
  <si>
    <t>First Year Completed Value Appears</t>
  </si>
  <si>
    <t>Approx. Lifetime Retained Increment</t>
  </si>
  <si>
    <t>Change vs No Delay</t>
  </si>
  <si>
    <t>Enter the municipal percentage applicable to the project, which must be between 85% and 100%.</t>
  </si>
  <si>
    <t>Enter the municipal planning value selected after completing the Valuation Review sheet (for example, the conservative or expected case). This value drives the Tax Increment projection.</t>
  </si>
  <si>
    <t>CHIP lifetime retained municipal increment</t>
  </si>
  <si>
    <t>CHIP lifetime retained education increment</t>
  </si>
  <si>
    <t>CHIP lifetime total retained increment</t>
  </si>
  <si>
    <t>This shows how changes in project timing could affect tax increment. Use a detailed, project-specific financial analysis before making final financing decisions.</t>
  </si>
  <si>
    <t>Timing sensitivity 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</si>
</sst>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[Red]\(\$#,##0\);\-"/>
    <numFmt numFmtId="165" formatCode="0.0000"/>
    <numFmt numFmtId="166" formatCode="0.0%"/>
    <numFmt numFmtId="167" formatCode="\$#,##0.00;[Red]\(\$#,##0.00\);\-"/>
  </numFmts>
  <fonts count="8" x14ac:knownFonts="1">
    <font>
      <sz val="11"/>
      <color theme="1"/>
      <name val="Calibri"/>
      <family val="2"/>
      <scheme val="minor"/>
    </font>
    <font>
      <b/>
      <sz val="20"/>
      <color rgb="FF17365D"/>
      <name val="Calibri"/>
      <family val="2"/>
    </font>
    <font>
      <b/>
      <sz val="11"/>
      <color rgb="FF2F75B5"/>
      <name val="Calibri"/>
      <family val="2"/>
    </font>
    <font>
      <b/>
      <sz val="11"/>
      <color rgb="FFFFFFFF"/>
      <name val="Calibri"/>
      <family val="2"/>
    </font>
    <font>
      <sz val="12"/>
      <color theme="10"/>
      <name val="Calibri"/>
      <family val="2"/>
      <scheme val="minor"/>
    </font>
    <font>
      <b/>
      <sz val="18"/>
      <color rgb="FF17365D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BF7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left" vertical="center" wrapText="1"/>
    </xf>
    <xf numFmtId="167" fontId="7" fillId="0" borderId="2" xfId="0" applyNumberFormat="1" applyFont="1" applyBorder="1" applyAlignment="1">
      <alignment horizontal="left" vertical="center" wrapText="1"/>
    </xf>
    <xf numFmtId="164" fontId="6" fillId="3" borderId="2" xfId="0" applyNumberFormat="1" applyFont="1" applyFill="1" applyBorder="1" applyAlignment="1">
      <alignment horizontal="left" vertical="center" wrapText="1"/>
    </xf>
    <xf numFmtId="166" fontId="7" fillId="0" borderId="2" xfId="0" applyNumberFormat="1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left" vertical="center" wrapText="1"/>
    </xf>
    <xf numFmtId="3" fontId="6" fillId="3" borderId="2" xfId="0" applyNumberFormat="1" applyFont="1" applyFill="1" applyBorder="1" applyAlignment="1">
      <alignment horizontal="left" vertical="center" wrapText="1"/>
    </xf>
    <xf numFmtId="165" fontId="6" fillId="3" borderId="1" xfId="0" applyNumberFormat="1" applyFont="1" applyFill="1" applyBorder="1" applyAlignment="1">
      <alignment horizontal="left" vertical="center" wrapText="1"/>
    </xf>
    <xf numFmtId="165" fontId="6" fillId="3" borderId="2" xfId="0" applyNumberFormat="1" applyFont="1" applyFill="1" applyBorder="1" applyAlignment="1">
      <alignment horizontal="left" vertical="center" wrapText="1"/>
    </xf>
    <xf numFmtId="166" fontId="6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left" vertical="center" wrapText="1"/>
    </xf>
    <xf numFmtId="164" fontId="7" fillId="5" borderId="2" xfId="0" applyNumberFormat="1" applyFont="1" applyFill="1" applyBorder="1" applyAlignment="1">
      <alignment horizontal="left" vertical="center" wrapText="1"/>
    </xf>
    <xf numFmtId="166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3" borderId="0" xfId="0" applyFont="1" applyFill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gislature.vermont.gov/statutes/section/24/053/01910c" TargetMode="External"/><Relationship Id="rId2" Type="http://schemas.openxmlformats.org/officeDocument/2006/relationships/hyperlink" Target="https://legislature.vermont.gov/statutes/section/24/053/01910b" TargetMode="External"/><Relationship Id="rId1" Type="http://schemas.openxmlformats.org/officeDocument/2006/relationships/hyperlink" Target="https://legislature.vermont.gov/statutes/section/24/053/01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zoomScale="90" workbookViewId="0">
      <pane ySplit="3" topLeftCell="A4" activePane="bottomLeft" state="frozen"/>
      <selection pane="bottomLeft" activeCell="G30" sqref="G30"/>
    </sheetView>
  </sheetViews>
  <sheetFormatPr defaultRowHeight="15" x14ac:dyDescent="0.25"/>
  <cols>
    <col min="1" max="1" width="22" customWidth="1"/>
    <col min="2" max="2" width="20" customWidth="1"/>
    <col min="3" max="3" width="18" customWidth="1"/>
    <col min="4" max="4" width="30" customWidth="1"/>
    <col min="5" max="6" width="18" customWidth="1"/>
  </cols>
  <sheetData>
    <row r="1" spans="1:6" ht="26.25" x14ac:dyDescent="0.25">
      <c r="A1" s="40" t="s">
        <v>0</v>
      </c>
      <c r="B1" s="34"/>
      <c r="C1" s="34"/>
      <c r="D1" s="34"/>
      <c r="E1" s="34"/>
      <c r="F1" s="34"/>
    </row>
    <row r="2" spans="1:6" x14ac:dyDescent="0.25">
      <c r="A2" s="41" t="s">
        <v>1</v>
      </c>
      <c r="B2" s="34"/>
      <c r="C2" s="34"/>
      <c r="D2" s="34"/>
      <c r="E2" s="34"/>
      <c r="F2" s="34"/>
    </row>
    <row r="3" spans="1:6" x14ac:dyDescent="0.25">
      <c r="A3" s="1"/>
      <c r="B3" s="1"/>
      <c r="C3" s="1"/>
      <c r="D3" s="1"/>
      <c r="E3" s="1"/>
      <c r="F3" s="1"/>
    </row>
    <row r="4" spans="1:6" ht="21.95" customHeight="1" x14ac:dyDescent="0.25">
      <c r="A4" s="35" t="s">
        <v>97</v>
      </c>
      <c r="B4" s="34"/>
      <c r="C4" s="34"/>
      <c r="D4" s="34"/>
      <c r="E4" s="34"/>
      <c r="F4" s="34"/>
    </row>
    <row r="5" spans="1:6" x14ac:dyDescent="0.25">
      <c r="A5" s="33" t="s">
        <v>2</v>
      </c>
      <c r="B5" s="34"/>
      <c r="C5" s="34"/>
      <c r="D5" s="34"/>
      <c r="E5" s="34"/>
      <c r="F5" s="34"/>
    </row>
    <row r="6" spans="1:6" x14ac:dyDescent="0.25">
      <c r="A6" s="33" t="s">
        <v>3</v>
      </c>
      <c r="B6" s="34"/>
      <c r="C6" s="34"/>
      <c r="D6" s="34"/>
      <c r="E6" s="34"/>
      <c r="F6" s="34"/>
    </row>
    <row r="7" spans="1:6" x14ac:dyDescent="0.25">
      <c r="A7" s="33" t="s">
        <v>4</v>
      </c>
      <c r="B7" s="34"/>
      <c r="C7" s="34"/>
      <c r="D7" s="34"/>
      <c r="E7" s="34"/>
      <c r="F7" s="34"/>
    </row>
    <row r="8" spans="1:6" x14ac:dyDescent="0.25">
      <c r="A8" s="33" t="s">
        <v>5</v>
      </c>
      <c r="B8" s="34"/>
      <c r="C8" s="34"/>
      <c r="D8" s="34"/>
      <c r="E8" s="34"/>
      <c r="F8" s="34"/>
    </row>
    <row r="9" spans="1:6" x14ac:dyDescent="0.25">
      <c r="A9" s="33" t="s">
        <v>6</v>
      </c>
      <c r="B9" s="34"/>
      <c r="C9" s="34"/>
      <c r="D9" s="34"/>
      <c r="E9" s="34"/>
      <c r="F9" s="34"/>
    </row>
    <row r="10" spans="1:6" x14ac:dyDescent="0.25">
      <c r="A10" s="33" t="s">
        <v>7</v>
      </c>
      <c r="B10" s="34"/>
      <c r="C10" s="34"/>
      <c r="D10" s="34"/>
      <c r="E10" s="34"/>
      <c r="F10" s="34"/>
    </row>
    <row r="11" spans="1:6" x14ac:dyDescent="0.25">
      <c r="A11" s="1"/>
      <c r="B11" s="1"/>
      <c r="C11" s="1"/>
      <c r="D11" s="1"/>
      <c r="E11" s="1"/>
      <c r="F11" s="1"/>
    </row>
    <row r="12" spans="1:6" ht="21.95" customHeight="1" x14ac:dyDescent="0.25">
      <c r="A12" s="35" t="s">
        <v>98</v>
      </c>
      <c r="B12" s="34"/>
      <c r="C12" s="34"/>
      <c r="D12" s="34"/>
      <c r="E12" s="34"/>
      <c r="F12" s="34"/>
    </row>
    <row r="13" spans="1:6" x14ac:dyDescent="0.25">
      <c r="A13" s="33" t="s">
        <v>8</v>
      </c>
      <c r="B13" s="34"/>
      <c r="C13" s="34"/>
      <c r="D13" s="34"/>
      <c r="E13" s="34"/>
      <c r="F13" s="34"/>
    </row>
    <row r="14" spans="1:6" x14ac:dyDescent="0.25">
      <c r="A14" s="33" t="s">
        <v>9</v>
      </c>
      <c r="B14" s="34"/>
      <c r="C14" s="34"/>
      <c r="D14" s="34"/>
      <c r="E14" s="34"/>
      <c r="F14" s="34"/>
    </row>
    <row r="15" spans="1:6" ht="30" customHeight="1" x14ac:dyDescent="0.25">
      <c r="A15" s="33" t="s">
        <v>10</v>
      </c>
      <c r="B15" s="34"/>
      <c r="C15" s="34"/>
      <c r="D15" s="34"/>
      <c r="E15" s="34"/>
      <c r="F15" s="34"/>
    </row>
    <row r="16" spans="1:6" x14ac:dyDescent="0.25">
      <c r="A16" s="33" t="s">
        <v>11</v>
      </c>
      <c r="B16" s="34"/>
      <c r="C16" s="34"/>
      <c r="D16" s="34"/>
      <c r="E16" s="34"/>
      <c r="F16" s="34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ht="21.95" customHeight="1" x14ac:dyDescent="0.25">
      <c r="A19" s="35" t="s">
        <v>99</v>
      </c>
      <c r="B19" s="34"/>
      <c r="C19" s="34"/>
      <c r="D19" s="34"/>
      <c r="E19" s="34"/>
      <c r="F19" s="34"/>
    </row>
    <row r="20" spans="1:6" x14ac:dyDescent="0.25">
      <c r="A20" s="33" t="s">
        <v>12</v>
      </c>
      <c r="B20" s="34"/>
      <c r="C20" s="34"/>
      <c r="D20" s="39" t="s">
        <v>13</v>
      </c>
      <c r="E20" s="34"/>
      <c r="F20" s="34"/>
    </row>
    <row r="21" spans="1:6" x14ac:dyDescent="0.25">
      <c r="A21" s="33" t="s">
        <v>14</v>
      </c>
      <c r="B21" s="34"/>
      <c r="C21" s="34"/>
      <c r="D21" s="39" t="s">
        <v>15</v>
      </c>
      <c r="E21" s="34"/>
      <c r="F21" s="34"/>
    </row>
    <row r="22" spans="1:6" x14ac:dyDescent="0.25">
      <c r="A22" s="33" t="s">
        <v>16</v>
      </c>
      <c r="B22" s="34"/>
      <c r="C22" s="34"/>
      <c r="D22" s="39" t="s">
        <v>17</v>
      </c>
      <c r="E22" s="34"/>
      <c r="F22" s="34"/>
    </row>
    <row r="23" spans="1:6" ht="15.75" x14ac:dyDescent="0.25">
      <c r="A23" s="33"/>
      <c r="B23" s="34"/>
      <c r="C23" s="34"/>
      <c r="D23" s="39"/>
      <c r="E23" s="34"/>
      <c r="F23" s="34"/>
    </row>
    <row r="24" spans="1:6" ht="15.75" x14ac:dyDescent="0.25">
      <c r="A24" s="33"/>
      <c r="B24" s="34"/>
      <c r="C24" s="34"/>
      <c r="D24" s="39"/>
      <c r="E24" s="34"/>
      <c r="F24" s="34"/>
    </row>
  </sheetData>
  <mergeCells count="25">
    <mergeCell ref="A1:F1"/>
    <mergeCell ref="D22:F22"/>
    <mergeCell ref="A6:F6"/>
    <mergeCell ref="D21:F21"/>
    <mergeCell ref="A7:F7"/>
    <mergeCell ref="A5:F5"/>
    <mergeCell ref="A8:F8"/>
    <mergeCell ref="A4:F4"/>
    <mergeCell ref="A9:F9"/>
    <mergeCell ref="A2:F2"/>
    <mergeCell ref="D24:F24"/>
    <mergeCell ref="A10:F10"/>
    <mergeCell ref="A13:F13"/>
    <mergeCell ref="A19:F19"/>
    <mergeCell ref="D23:F23"/>
    <mergeCell ref="D20:F20"/>
    <mergeCell ref="A15:F15"/>
    <mergeCell ref="A24:C24"/>
    <mergeCell ref="A23:C23"/>
    <mergeCell ref="A22:C22"/>
    <mergeCell ref="A20:C20"/>
    <mergeCell ref="A16:F16"/>
    <mergeCell ref="A21:C21"/>
    <mergeCell ref="A12:F12"/>
    <mergeCell ref="A14:F14"/>
  </mergeCells>
  <hyperlinks>
    <hyperlink ref="D20" r:id="rId1" xr:uid="{00000000-0004-0000-0000-000000000000}"/>
    <hyperlink ref="D21" r:id="rId2" xr:uid="{00000000-0004-0000-0000-000001000000}"/>
    <hyperlink ref="D22" r:id="rId3" xr:uid="{00000000-0004-0000-0000-000002000000}"/>
  </hyperlink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5"/>
  <sheetViews>
    <sheetView showGridLines="0" zoomScale="90" workbookViewId="0">
      <pane ySplit="3" topLeftCell="A6" activePane="bottomLeft" state="frozen"/>
      <selection pane="bottomLeft" activeCell="C23" sqref="C23"/>
    </sheetView>
  </sheetViews>
  <sheetFormatPr defaultRowHeight="15" x14ac:dyDescent="0.25"/>
  <cols>
    <col min="1" max="1" width="40" customWidth="1"/>
    <col min="2" max="2" width="22" customWidth="1"/>
    <col min="3" max="6" width="18" customWidth="1"/>
  </cols>
  <sheetData>
    <row r="1" spans="1:6" ht="23.25" x14ac:dyDescent="0.25">
      <c r="A1" s="36" t="s">
        <v>18</v>
      </c>
      <c r="B1" s="34"/>
      <c r="C1" s="34"/>
      <c r="D1" s="34"/>
      <c r="E1" s="34"/>
      <c r="F1" s="34"/>
    </row>
    <row r="2" spans="1:6" x14ac:dyDescent="0.25">
      <c r="A2" s="33" t="s">
        <v>19</v>
      </c>
      <c r="B2" s="34"/>
      <c r="C2" s="34"/>
      <c r="D2" s="34"/>
      <c r="E2" s="34"/>
      <c r="F2" s="34"/>
    </row>
    <row r="3" spans="1:6" x14ac:dyDescent="0.25">
      <c r="A3" s="1"/>
      <c r="B3" s="1"/>
      <c r="C3" s="1"/>
      <c r="D3" s="1"/>
      <c r="E3" s="1"/>
      <c r="F3" s="1"/>
    </row>
    <row r="4" spans="1:6" ht="21.95" customHeight="1" x14ac:dyDescent="0.25">
      <c r="A4" s="35" t="s">
        <v>92</v>
      </c>
      <c r="B4" s="34"/>
      <c r="C4" s="34"/>
      <c r="D4" s="34"/>
      <c r="E4" s="34"/>
      <c r="F4" s="34"/>
    </row>
    <row r="5" spans="1:6" x14ac:dyDescent="0.25">
      <c r="A5" s="4" t="s">
        <v>20</v>
      </c>
      <c r="B5" s="12"/>
      <c r="C5" s="1"/>
      <c r="D5" s="1"/>
      <c r="E5" s="1"/>
      <c r="F5" s="1"/>
    </row>
    <row r="6" spans="1:6" x14ac:dyDescent="0.25">
      <c r="A6" s="6" t="s">
        <v>21</v>
      </c>
      <c r="B6" s="13"/>
      <c r="C6" s="1"/>
      <c r="D6" s="1"/>
      <c r="E6" s="1"/>
      <c r="F6" s="1"/>
    </row>
    <row r="7" spans="1:6" x14ac:dyDescent="0.25">
      <c r="A7" s="6" t="s">
        <v>22</v>
      </c>
      <c r="B7" s="13"/>
      <c r="C7" s="1"/>
      <c r="D7" s="1"/>
      <c r="E7" s="1"/>
      <c r="F7" s="1"/>
    </row>
    <row r="8" spans="1:6" x14ac:dyDescent="0.25">
      <c r="A8" s="6" t="s">
        <v>23</v>
      </c>
      <c r="B8" s="13"/>
      <c r="C8" s="1"/>
      <c r="D8" s="1"/>
      <c r="E8" s="1"/>
      <c r="F8" s="1"/>
    </row>
    <row r="9" spans="1:6" x14ac:dyDescent="0.25">
      <c r="A9" s="6" t="s">
        <v>24</v>
      </c>
      <c r="B9" s="9"/>
      <c r="C9" s="1"/>
      <c r="D9" s="1"/>
      <c r="E9" s="1"/>
      <c r="F9" s="1"/>
    </row>
    <row r="10" spans="1:6" ht="30" x14ac:dyDescent="0.25">
      <c r="A10" s="6" t="s">
        <v>25</v>
      </c>
      <c r="B10" s="9"/>
      <c r="C10" s="1"/>
      <c r="D10" s="1"/>
      <c r="E10" s="1"/>
      <c r="F10" s="1"/>
    </row>
    <row r="11" spans="1:6" x14ac:dyDescent="0.25">
      <c r="A11" s="6" t="s">
        <v>26</v>
      </c>
      <c r="B11" s="13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ht="21.95" customHeight="1" x14ac:dyDescent="0.25">
      <c r="A13" s="35" t="s">
        <v>93</v>
      </c>
      <c r="B13" s="34"/>
      <c r="C13" s="34"/>
      <c r="D13" s="34"/>
      <c r="E13" s="34"/>
      <c r="F13" s="34"/>
    </row>
    <row r="14" spans="1:6" x14ac:dyDescent="0.25">
      <c r="A14" s="4" t="s">
        <v>27</v>
      </c>
      <c r="B14" s="14"/>
      <c r="C14" s="4"/>
      <c r="D14" s="4"/>
      <c r="E14" s="4"/>
      <c r="F14" s="4"/>
    </row>
    <row r="15" spans="1:6" ht="30" x14ac:dyDescent="0.25">
      <c r="A15" s="6" t="s">
        <v>28</v>
      </c>
      <c r="B15" s="15"/>
      <c r="C15" s="6"/>
      <c r="D15" s="6"/>
      <c r="E15" s="6"/>
      <c r="F15" s="6"/>
    </row>
    <row r="16" spans="1:6" ht="30" customHeight="1" x14ac:dyDescent="0.25">
      <c r="A16" s="6" t="s">
        <v>29</v>
      </c>
      <c r="B16" s="16"/>
      <c r="C16" s="37" t="s">
        <v>128</v>
      </c>
      <c r="D16" s="37"/>
      <c r="E16" s="37"/>
      <c r="F16" s="37"/>
    </row>
    <row r="17" spans="1:6" ht="30" customHeight="1" x14ac:dyDescent="0.25">
      <c r="A17" s="6" t="s">
        <v>30</v>
      </c>
      <c r="B17" s="16"/>
      <c r="C17" s="38" t="s">
        <v>96</v>
      </c>
      <c r="D17" s="38"/>
      <c r="E17" s="38"/>
      <c r="F17" s="38"/>
    </row>
    <row r="18" spans="1:6" x14ac:dyDescent="0.25">
      <c r="A18" s="6" t="s">
        <v>31</v>
      </c>
      <c r="B18" s="17"/>
      <c r="C18" s="6"/>
      <c r="D18" s="6"/>
      <c r="E18" s="6"/>
      <c r="F18" s="6"/>
    </row>
    <row r="19" spans="1:6" x14ac:dyDescent="0.25">
      <c r="A19" s="6" t="s">
        <v>32</v>
      </c>
      <c r="B19" s="17"/>
      <c r="C19" s="38" t="s">
        <v>95</v>
      </c>
      <c r="D19" s="38"/>
      <c r="E19" s="38"/>
      <c r="F19" s="38"/>
    </row>
    <row r="20" spans="1:6" x14ac:dyDescent="0.25">
      <c r="A20" s="1"/>
      <c r="B20" s="1"/>
      <c r="C20" s="1"/>
      <c r="D20" s="1"/>
      <c r="E20" s="1"/>
      <c r="F20" s="1"/>
    </row>
    <row r="21" spans="1:6" ht="21.95" customHeight="1" x14ac:dyDescent="0.25">
      <c r="A21" s="35" t="s">
        <v>94</v>
      </c>
      <c r="B21" s="34"/>
      <c r="C21" s="34"/>
      <c r="D21" s="34"/>
      <c r="E21" s="34"/>
      <c r="F21" s="34"/>
    </row>
    <row r="22" spans="1:6" ht="45" customHeight="1" x14ac:dyDescent="0.25">
      <c r="A22" s="4" t="s">
        <v>33</v>
      </c>
      <c r="B22" s="18"/>
      <c r="C22" s="32" t="s">
        <v>129</v>
      </c>
      <c r="D22" s="32"/>
      <c r="E22" s="32"/>
      <c r="F22" s="32"/>
    </row>
    <row r="23" spans="1:6" x14ac:dyDescent="0.25">
      <c r="A23" s="6" t="s">
        <v>34</v>
      </c>
      <c r="B23" s="16">
        <v>0</v>
      </c>
      <c r="C23" s="6"/>
      <c r="D23" s="6"/>
      <c r="E23" s="6"/>
      <c r="F23" s="6"/>
    </row>
    <row r="24" spans="1:6" x14ac:dyDescent="0.25">
      <c r="A24" s="6" t="s">
        <v>35</v>
      </c>
      <c r="B24" s="16">
        <v>0</v>
      </c>
      <c r="C24" s="6"/>
      <c r="D24" s="6"/>
      <c r="E24" s="6"/>
      <c r="F24" s="6"/>
    </row>
    <row r="25" spans="1:6" x14ac:dyDescent="0.25">
      <c r="A25" s="6" t="s">
        <v>36</v>
      </c>
      <c r="B25" s="17">
        <v>0</v>
      </c>
      <c r="C25" s="6"/>
      <c r="D25" s="6"/>
      <c r="E25" s="6"/>
      <c r="F25" s="6"/>
    </row>
  </sheetData>
  <mergeCells count="9">
    <mergeCell ref="C22:F22"/>
    <mergeCell ref="A2:F2"/>
    <mergeCell ref="A13:F13"/>
    <mergeCell ref="A1:F1"/>
    <mergeCell ref="A4:F4"/>
    <mergeCell ref="A21:F21"/>
    <mergeCell ref="C16:F16"/>
    <mergeCell ref="C17:F17"/>
    <mergeCell ref="C19:F19"/>
  </mergeCell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showGridLines="0" zoomScale="90" workbookViewId="0">
      <pane ySplit="4" topLeftCell="A5" activePane="bottomLeft" state="frozen"/>
      <selection pane="bottomLeft" activeCell="B25" sqref="B25"/>
    </sheetView>
  </sheetViews>
  <sheetFormatPr defaultRowHeight="15" x14ac:dyDescent="0.25"/>
  <cols>
    <col min="1" max="1" width="20" customWidth="1"/>
    <col min="2" max="2" width="18" customWidth="1"/>
    <col min="3" max="3" width="10" customWidth="1"/>
    <col min="4" max="4" width="12" customWidth="1"/>
    <col min="5" max="5" width="11" customWidth="1"/>
    <col min="6" max="7" width="16" customWidth="1"/>
    <col min="8" max="8" width="15" customWidth="1"/>
    <col min="9" max="9" width="13" customWidth="1"/>
    <col min="10" max="10" width="32" customWidth="1"/>
  </cols>
  <sheetData>
    <row r="1" spans="1:10" ht="23.25" x14ac:dyDescent="0.25">
      <c r="A1" s="36" t="s">
        <v>37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3" t="s">
        <v>38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x14ac:dyDescent="0.25">
      <c r="A4" s="3" t="s">
        <v>39</v>
      </c>
      <c r="B4" s="3" t="s">
        <v>105</v>
      </c>
      <c r="C4" s="3" t="s">
        <v>40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  <c r="J4" s="3" t="s">
        <v>47</v>
      </c>
    </row>
    <row r="5" spans="1:10" x14ac:dyDescent="0.25">
      <c r="A5" s="12"/>
      <c r="B5" s="12"/>
      <c r="C5" s="12"/>
      <c r="D5" s="12"/>
      <c r="E5" s="12"/>
      <c r="F5" s="18"/>
      <c r="G5" s="18"/>
      <c r="H5" s="5" t="str">
        <f t="shared" ref="H5:H14" si="0">IFERROR(F5/C5,"")</f>
        <v/>
      </c>
      <c r="I5" s="19" t="str">
        <f t="shared" ref="I5:I14" si="1">IFERROR(F5/D5,"")</f>
        <v/>
      </c>
      <c r="J5" s="20"/>
    </row>
    <row r="6" spans="1:10" x14ac:dyDescent="0.25">
      <c r="A6" s="13"/>
      <c r="B6" s="13"/>
      <c r="C6" s="13"/>
      <c r="D6" s="13"/>
      <c r="E6" s="13"/>
      <c r="F6" s="9"/>
      <c r="G6" s="9"/>
      <c r="H6" s="7" t="str">
        <f t="shared" si="0"/>
        <v/>
      </c>
      <c r="I6" s="8" t="str">
        <f t="shared" si="1"/>
        <v/>
      </c>
      <c r="J6" s="21"/>
    </row>
    <row r="7" spans="1:10" x14ac:dyDescent="0.25">
      <c r="A7" s="13"/>
      <c r="B7" s="13"/>
      <c r="C7" s="13"/>
      <c r="D7" s="13"/>
      <c r="E7" s="13"/>
      <c r="F7" s="9"/>
      <c r="G7" s="9"/>
      <c r="H7" s="7" t="str">
        <f t="shared" si="0"/>
        <v/>
      </c>
      <c r="I7" s="8" t="str">
        <f t="shared" si="1"/>
        <v/>
      </c>
      <c r="J7" s="21"/>
    </row>
    <row r="8" spans="1:10" x14ac:dyDescent="0.25">
      <c r="A8" s="13"/>
      <c r="B8" s="13"/>
      <c r="C8" s="13"/>
      <c r="D8" s="13"/>
      <c r="E8" s="13"/>
      <c r="F8" s="9"/>
      <c r="G8" s="9"/>
      <c r="H8" s="7" t="str">
        <f t="shared" si="0"/>
        <v/>
      </c>
      <c r="I8" s="8" t="str">
        <f t="shared" si="1"/>
        <v/>
      </c>
      <c r="J8" s="21"/>
    </row>
    <row r="9" spans="1:10" x14ac:dyDescent="0.25">
      <c r="A9" s="13"/>
      <c r="B9" s="13"/>
      <c r="C9" s="13"/>
      <c r="D9" s="13"/>
      <c r="E9" s="13"/>
      <c r="F9" s="9"/>
      <c r="G9" s="9"/>
      <c r="H9" s="7" t="str">
        <f t="shared" si="0"/>
        <v/>
      </c>
      <c r="I9" s="8" t="str">
        <f t="shared" si="1"/>
        <v/>
      </c>
      <c r="J9" s="21"/>
    </row>
    <row r="10" spans="1:10" x14ac:dyDescent="0.25">
      <c r="A10" s="13"/>
      <c r="B10" s="13"/>
      <c r="C10" s="13"/>
      <c r="D10" s="13"/>
      <c r="E10" s="13"/>
      <c r="F10" s="9"/>
      <c r="G10" s="9"/>
      <c r="H10" s="7" t="str">
        <f t="shared" si="0"/>
        <v/>
      </c>
      <c r="I10" s="8" t="str">
        <f t="shared" si="1"/>
        <v/>
      </c>
      <c r="J10" s="21"/>
    </row>
    <row r="11" spans="1:10" x14ac:dyDescent="0.25">
      <c r="A11" s="13"/>
      <c r="B11" s="13"/>
      <c r="C11" s="13"/>
      <c r="D11" s="13"/>
      <c r="E11" s="13"/>
      <c r="F11" s="9"/>
      <c r="G11" s="9"/>
      <c r="H11" s="7" t="str">
        <f t="shared" si="0"/>
        <v/>
      </c>
      <c r="I11" s="8" t="str">
        <f t="shared" si="1"/>
        <v/>
      </c>
      <c r="J11" s="21"/>
    </row>
    <row r="12" spans="1:10" x14ac:dyDescent="0.25">
      <c r="A12" s="13"/>
      <c r="B12" s="13"/>
      <c r="C12" s="13"/>
      <c r="D12" s="13"/>
      <c r="E12" s="13"/>
      <c r="F12" s="9"/>
      <c r="G12" s="9"/>
      <c r="H12" s="7" t="str">
        <f t="shared" si="0"/>
        <v/>
      </c>
      <c r="I12" s="8" t="str">
        <f t="shared" si="1"/>
        <v/>
      </c>
      <c r="J12" s="21"/>
    </row>
    <row r="13" spans="1:10" x14ac:dyDescent="0.25">
      <c r="A13" s="13"/>
      <c r="B13" s="13"/>
      <c r="C13" s="13"/>
      <c r="D13" s="13"/>
      <c r="E13" s="13"/>
      <c r="F13" s="9"/>
      <c r="G13" s="9"/>
      <c r="H13" s="7" t="str">
        <f t="shared" si="0"/>
        <v/>
      </c>
      <c r="I13" s="8" t="str">
        <f t="shared" si="1"/>
        <v/>
      </c>
      <c r="J13" s="21"/>
    </row>
    <row r="14" spans="1:10" x14ac:dyDescent="0.25">
      <c r="A14" s="13"/>
      <c r="B14" s="13"/>
      <c r="C14" s="13"/>
      <c r="D14" s="13"/>
      <c r="E14" s="13"/>
      <c r="F14" s="9"/>
      <c r="G14" s="9"/>
      <c r="H14" s="7" t="str">
        <f t="shared" si="0"/>
        <v/>
      </c>
      <c r="I14" s="8" t="str">
        <f t="shared" si="1"/>
        <v/>
      </c>
      <c r="J14" s="2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1.95" customHeight="1" x14ac:dyDescent="0.25">
      <c r="A17" s="35" t="s">
        <v>100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30" x14ac:dyDescent="0.25">
      <c r="A18" s="4" t="s">
        <v>48</v>
      </c>
      <c r="B18" s="5">
        <f>COUNT(F5:F14)</f>
        <v>0</v>
      </c>
      <c r="C18" s="1"/>
      <c r="D18" s="1"/>
      <c r="E18" s="1"/>
      <c r="F18" s="1"/>
      <c r="G18" s="1"/>
      <c r="H18" s="1"/>
      <c r="I18" s="1"/>
      <c r="J18" s="1"/>
    </row>
    <row r="19" spans="1:10" ht="30" x14ac:dyDescent="0.25">
      <c r="A19" s="6" t="s">
        <v>49</v>
      </c>
      <c r="B19" s="7">
        <f>IFERROR(MEDIAN(H5:H14),0)</f>
        <v>0</v>
      </c>
      <c r="C19" s="1"/>
      <c r="D19" s="1"/>
      <c r="E19" s="1"/>
      <c r="F19" s="1"/>
      <c r="G19" s="1"/>
      <c r="H19" s="1"/>
      <c r="I19" s="1"/>
      <c r="J19" s="1"/>
    </row>
    <row r="20" spans="1:10" ht="30" x14ac:dyDescent="0.25">
      <c r="A20" s="6" t="s">
        <v>50</v>
      </c>
      <c r="B20" s="7">
        <f>IFERROR(AVERAGE(H5:H14),0)</f>
        <v>0</v>
      </c>
      <c r="C20" s="1"/>
      <c r="D20" s="1"/>
      <c r="E20" s="1"/>
      <c r="F20" s="1"/>
      <c r="G20" s="1"/>
      <c r="H20" s="1"/>
      <c r="I20" s="1"/>
      <c r="J20" s="1"/>
    </row>
    <row r="21" spans="1:10" ht="30" x14ac:dyDescent="0.25">
      <c r="A21" s="6" t="s">
        <v>51</v>
      </c>
      <c r="B21" s="7">
        <f>IFERROR(MIN(H5:H14),0)</f>
        <v>0</v>
      </c>
      <c r="C21" s="1"/>
      <c r="D21" s="1"/>
      <c r="E21" s="1"/>
      <c r="F21" s="1"/>
      <c r="G21" s="1"/>
      <c r="H21" s="1"/>
      <c r="I21" s="1"/>
      <c r="J21" s="1"/>
    </row>
    <row r="22" spans="1:10" ht="30" x14ac:dyDescent="0.25">
      <c r="A22" s="6" t="s">
        <v>52</v>
      </c>
      <c r="B22" s="7">
        <f>IFERROR(MAX(H5:H14),0)</f>
        <v>0</v>
      </c>
      <c r="C22" s="1"/>
      <c r="D22" s="1"/>
      <c r="E22" s="1"/>
      <c r="F22" s="1"/>
      <c r="G22" s="1"/>
      <c r="H22" s="1"/>
      <c r="I22" s="1"/>
      <c r="J22" s="1"/>
    </row>
    <row r="23" spans="1:10" ht="30" x14ac:dyDescent="0.25">
      <c r="A23" s="6" t="s">
        <v>53</v>
      </c>
      <c r="B23" s="8">
        <f>IFERROR(MEDIAN(I5:I14),0)</f>
        <v>0</v>
      </c>
      <c r="C23" s="1"/>
      <c r="D23" s="1"/>
      <c r="E23" s="1"/>
      <c r="F23" s="1"/>
      <c r="G23" s="1"/>
      <c r="H23" s="1"/>
      <c r="I23" s="1"/>
      <c r="J23" s="1"/>
    </row>
    <row r="24" spans="1:10" ht="30" x14ac:dyDescent="0.25">
      <c r="A24" s="6" t="s">
        <v>54</v>
      </c>
      <c r="B24" s="8">
        <f>IFERROR(AVERAGE(I5:I14),0)</f>
        <v>0</v>
      </c>
      <c r="C24" s="1"/>
      <c r="D24" s="1"/>
      <c r="E24" s="1"/>
      <c r="F24" s="1"/>
      <c r="G24" s="1"/>
      <c r="H24" s="1"/>
      <c r="I24" s="1"/>
      <c r="J24" s="1"/>
    </row>
  </sheetData>
  <mergeCells count="3">
    <mergeCell ref="A1:J1"/>
    <mergeCell ref="A2:J2"/>
    <mergeCell ref="A17:J17"/>
  </mergeCell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3"/>
  <sheetViews>
    <sheetView showGridLines="0" zoomScale="90" workbookViewId="0">
      <pane ySplit="3" topLeftCell="A12" activePane="bottomLeft" state="frozen"/>
      <selection pane="bottomLeft" activeCell="B24" sqref="B24"/>
    </sheetView>
  </sheetViews>
  <sheetFormatPr defaultRowHeight="15" x14ac:dyDescent="0.25"/>
  <cols>
    <col min="1" max="1" width="38" customWidth="1"/>
    <col min="2" max="2" width="22" customWidth="1"/>
    <col min="3" max="6" width="16" customWidth="1"/>
  </cols>
  <sheetData>
    <row r="1" spans="1:6" ht="23.25" x14ac:dyDescent="0.25">
      <c r="A1" s="36" t="s">
        <v>55</v>
      </c>
      <c r="B1" s="34"/>
      <c r="C1" s="34"/>
      <c r="D1" s="34"/>
      <c r="E1" s="34"/>
      <c r="F1" s="34"/>
    </row>
    <row r="2" spans="1:6" x14ac:dyDescent="0.25">
      <c r="A2" s="33" t="s">
        <v>56</v>
      </c>
      <c r="B2" s="34"/>
      <c r="C2" s="34"/>
      <c r="D2" s="34"/>
      <c r="E2" s="34"/>
      <c r="F2" s="34"/>
    </row>
    <row r="3" spans="1:6" x14ac:dyDescent="0.25">
      <c r="A3" s="1"/>
      <c r="B3" s="1"/>
      <c r="C3" s="1"/>
      <c r="D3" s="1"/>
      <c r="E3" s="1"/>
      <c r="F3" s="1"/>
    </row>
    <row r="4" spans="1:6" ht="21.95" customHeight="1" x14ac:dyDescent="0.25">
      <c r="A4" s="35" t="s">
        <v>102</v>
      </c>
      <c r="B4" s="34"/>
      <c r="C4" s="34"/>
      <c r="D4" s="34"/>
      <c r="E4" s="34"/>
      <c r="F4" s="34"/>
    </row>
    <row r="5" spans="1:6" x14ac:dyDescent="0.25">
      <c r="A5" s="4" t="s">
        <v>57</v>
      </c>
      <c r="B5" s="5">
        <f>'Project Inputs'!B10</f>
        <v>0</v>
      </c>
      <c r="C5" s="4"/>
      <c r="D5" s="4"/>
      <c r="E5" s="4"/>
      <c r="F5" s="4"/>
    </row>
    <row r="6" spans="1:6" x14ac:dyDescent="0.25">
      <c r="A6" s="6" t="s">
        <v>58</v>
      </c>
      <c r="B6" s="7">
        <f>IFERROR(B5/'Project Inputs'!B7,0)</f>
        <v>0</v>
      </c>
      <c r="C6" s="6"/>
      <c r="D6" s="6"/>
      <c r="E6" s="6"/>
      <c r="F6" s="6"/>
    </row>
    <row r="7" spans="1:6" x14ac:dyDescent="0.25">
      <c r="A7" s="6" t="s">
        <v>59</v>
      </c>
      <c r="B7" s="8">
        <f>IFERROR(B5/'Project Inputs'!B8,0)</f>
        <v>0</v>
      </c>
      <c r="C7" s="6"/>
      <c r="D7" s="6"/>
      <c r="E7" s="6"/>
      <c r="F7" s="6"/>
    </row>
    <row r="8" spans="1:6" x14ac:dyDescent="0.25">
      <c r="A8" s="6" t="s">
        <v>60</v>
      </c>
      <c r="B8" s="7">
        <f>Comparables!B19</f>
        <v>0</v>
      </c>
      <c r="C8" s="6"/>
      <c r="D8" s="6"/>
      <c r="E8" s="6"/>
      <c r="F8" s="6"/>
    </row>
    <row r="9" spans="1:6" x14ac:dyDescent="0.25">
      <c r="A9" s="6" t="s">
        <v>61</v>
      </c>
      <c r="B9" s="7">
        <f>B8*'Project Inputs'!B7</f>
        <v>0</v>
      </c>
      <c r="C9" s="6"/>
      <c r="D9" s="6"/>
      <c r="E9" s="6"/>
      <c r="F9" s="6"/>
    </row>
    <row r="10" spans="1:6" x14ac:dyDescent="0.25">
      <c r="A10" s="6" t="s">
        <v>62</v>
      </c>
      <c r="B10" s="8">
        <f>Comparables!B23</f>
        <v>0</v>
      </c>
      <c r="C10" s="6"/>
      <c r="D10" s="6"/>
      <c r="E10" s="6"/>
      <c r="F10" s="6"/>
    </row>
    <row r="11" spans="1:6" x14ac:dyDescent="0.25">
      <c r="A11" s="6" t="s">
        <v>63</v>
      </c>
      <c r="B11" s="7">
        <f>B10*'Project Inputs'!B8</f>
        <v>0</v>
      </c>
      <c r="C11" s="6"/>
      <c r="D11" s="6"/>
      <c r="E11" s="6"/>
      <c r="F11" s="6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ht="21.95" customHeight="1" x14ac:dyDescent="0.25">
      <c r="A14" s="35" t="s">
        <v>103</v>
      </c>
      <c r="B14" s="34"/>
      <c r="C14" s="34"/>
      <c r="D14" s="34"/>
      <c r="E14" s="34"/>
      <c r="F14" s="34"/>
    </row>
    <row r="15" spans="1:6" x14ac:dyDescent="0.25">
      <c r="A15" s="1" t="s">
        <v>64</v>
      </c>
      <c r="B15" s="5">
        <f>IF(AND(B9&gt;0,B11&gt;0),MIN(B9,B11),MAX(B9,B11))</f>
        <v>0</v>
      </c>
      <c r="C15" s="4"/>
      <c r="D15" s="4"/>
      <c r="E15" s="4"/>
      <c r="F15" s="4"/>
    </row>
    <row r="16" spans="1:6" x14ac:dyDescent="0.25">
      <c r="A16" s="1" t="s">
        <v>65</v>
      </c>
      <c r="B16" s="7">
        <f>IF(AND(B9&gt;0,B11&gt;0),AVERAGE(B9,B11),MAX(B9,B11))</f>
        <v>0</v>
      </c>
      <c r="C16" s="6"/>
      <c r="D16" s="6"/>
      <c r="E16" s="6"/>
      <c r="F16" s="6"/>
    </row>
    <row r="17" spans="1:6" x14ac:dyDescent="0.25">
      <c r="A17" s="1" t="s">
        <v>66</v>
      </c>
      <c r="B17" s="7">
        <f>IF(AND(B9&gt;0,B11&gt;0),MAX(B9,B11),MAX(B9,B11))</f>
        <v>0</v>
      </c>
      <c r="C17" s="6"/>
      <c r="D17" s="6"/>
      <c r="E17" s="6"/>
      <c r="F17" s="6"/>
    </row>
    <row r="18" spans="1:6" x14ac:dyDescent="0.25">
      <c r="A18" s="1"/>
      <c r="B18" s="6"/>
      <c r="C18" s="6"/>
      <c r="D18" s="6"/>
      <c r="E18" s="6"/>
      <c r="F18" s="6"/>
    </row>
    <row r="19" spans="1:6" ht="30" customHeight="1" x14ac:dyDescent="0.25">
      <c r="A19" s="1" t="s">
        <v>67</v>
      </c>
      <c r="B19" s="9"/>
      <c r="C19" s="38" t="s">
        <v>101</v>
      </c>
      <c r="D19" s="38"/>
      <c r="E19" s="38"/>
      <c r="F19" s="38"/>
    </row>
    <row r="20" spans="1:6" x14ac:dyDescent="0.25">
      <c r="A20" s="1" t="s">
        <v>68</v>
      </c>
      <c r="B20" s="9"/>
      <c r="C20" s="6"/>
      <c r="D20" s="6"/>
      <c r="E20" s="6"/>
      <c r="F20" s="6"/>
    </row>
    <row r="21" spans="1:6" x14ac:dyDescent="0.25">
      <c r="A21" s="1" t="s">
        <v>69</v>
      </c>
      <c r="B21" s="9"/>
      <c r="C21" s="6"/>
      <c r="D21" s="6"/>
      <c r="E21" s="6"/>
      <c r="F21" s="6"/>
    </row>
    <row r="22" spans="1:6" x14ac:dyDescent="0.25">
      <c r="A22" s="1"/>
      <c r="B22" s="6"/>
      <c r="C22" s="6"/>
      <c r="D22" s="6"/>
      <c r="E22" s="6"/>
      <c r="F22" s="6"/>
    </row>
    <row r="23" spans="1:6" x14ac:dyDescent="0.25">
      <c r="A23" s="1" t="s">
        <v>70</v>
      </c>
      <c r="B23" s="10">
        <f>IFERROR(B5/B20-1,0)</f>
        <v>0</v>
      </c>
      <c r="C23" s="6"/>
      <c r="D23" s="6"/>
      <c r="E23" s="6"/>
      <c r="F23" s="6"/>
    </row>
    <row r="24" spans="1:6" ht="30" x14ac:dyDescent="0.25">
      <c r="A24" s="1" t="s">
        <v>71</v>
      </c>
      <c r="B24" s="11" t="str">
        <f>IF(B20=0,"ENTER MUNICIPAL CASE",IF(B5&gt;B21,"ABOVE MUNICIPAL HIGH CASE",IF(B5&gt;B20*1.1,"REVIEW - &gt;10% ABOVE EXPECTED","WITHIN/NEAR RANGE")))</f>
        <v>ENTER MUNICIPAL CASE</v>
      </c>
      <c r="C24" s="6"/>
      <c r="D24" s="6"/>
      <c r="E24" s="6"/>
      <c r="F24" s="6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ht="21.95" customHeight="1" x14ac:dyDescent="0.25">
      <c r="A27" s="35" t="s">
        <v>104</v>
      </c>
      <c r="B27" s="34"/>
      <c r="C27" s="34"/>
      <c r="D27" s="34"/>
      <c r="E27" s="34"/>
      <c r="F27" s="34"/>
    </row>
    <row r="28" spans="1:6" ht="30" customHeight="1" x14ac:dyDescent="0.25">
      <c r="A28" s="4" t="s">
        <v>72</v>
      </c>
      <c r="B28" s="44"/>
      <c r="C28" s="45"/>
      <c r="D28" s="45"/>
      <c r="E28" s="45"/>
      <c r="F28" s="45"/>
    </row>
    <row r="29" spans="1:6" ht="30" customHeight="1" x14ac:dyDescent="0.25">
      <c r="A29" s="6" t="s">
        <v>73</v>
      </c>
      <c r="B29" s="42"/>
      <c r="C29" s="43"/>
      <c r="D29" s="43"/>
      <c r="E29" s="43"/>
      <c r="F29" s="43"/>
    </row>
    <row r="30" spans="1:6" ht="30" customHeight="1" x14ac:dyDescent="0.25">
      <c r="A30" s="6" t="s">
        <v>74</v>
      </c>
      <c r="B30" s="42"/>
      <c r="C30" s="43"/>
      <c r="D30" s="43"/>
      <c r="E30" s="43"/>
      <c r="F30" s="43"/>
    </row>
    <row r="31" spans="1:6" ht="30" customHeight="1" x14ac:dyDescent="0.25">
      <c r="A31" s="6" t="s">
        <v>75</v>
      </c>
      <c r="B31" s="42"/>
      <c r="C31" s="43"/>
      <c r="D31" s="43"/>
      <c r="E31" s="43"/>
      <c r="F31" s="43"/>
    </row>
    <row r="32" spans="1:6" ht="30" customHeight="1" x14ac:dyDescent="0.25">
      <c r="A32" s="6" t="s">
        <v>76</v>
      </c>
      <c r="B32" s="42"/>
      <c r="C32" s="43"/>
      <c r="D32" s="43"/>
      <c r="E32" s="43"/>
      <c r="F32" s="43"/>
    </row>
    <row r="33" spans="1:6" ht="30" customHeight="1" x14ac:dyDescent="0.25">
      <c r="A33" s="6" t="s">
        <v>77</v>
      </c>
      <c r="B33" s="42"/>
      <c r="C33" s="43"/>
      <c r="D33" s="43"/>
      <c r="E33" s="43"/>
      <c r="F33" s="43"/>
    </row>
  </sheetData>
  <mergeCells count="12">
    <mergeCell ref="B33:F33"/>
    <mergeCell ref="B32:F32"/>
    <mergeCell ref="A1:F1"/>
    <mergeCell ref="B28:F28"/>
    <mergeCell ref="A27:F27"/>
    <mergeCell ref="B31:F31"/>
    <mergeCell ref="A4:F4"/>
    <mergeCell ref="C19:F19"/>
    <mergeCell ref="B30:F30"/>
    <mergeCell ref="A2:F2"/>
    <mergeCell ref="B29:F29"/>
    <mergeCell ref="A14:F14"/>
  </mergeCell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0"/>
  <sheetViews>
    <sheetView showGridLines="0" zoomScale="90" workbookViewId="0">
      <pane ySplit="4" topLeftCell="A16" activePane="bottomLeft" state="frozen"/>
      <selection pane="bottomLeft" activeCell="J30" sqref="J30"/>
    </sheetView>
  </sheetViews>
  <sheetFormatPr defaultRowHeight="15" x14ac:dyDescent="0.25"/>
  <cols>
    <col min="1" max="1" width="10" customWidth="1"/>
    <col min="2" max="3" width="18" customWidth="1"/>
    <col min="4" max="5" width="17" customWidth="1"/>
    <col min="6" max="10" width="18" customWidth="1"/>
  </cols>
  <sheetData>
    <row r="1" spans="1:10" ht="23.25" x14ac:dyDescent="0.25">
      <c r="A1" s="36" t="s">
        <v>78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3" t="s">
        <v>79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45" x14ac:dyDescent="0.25">
      <c r="A4" s="3" t="s">
        <v>80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  <c r="H4" s="3" t="s">
        <v>112</v>
      </c>
      <c r="I4" s="3" t="s">
        <v>113</v>
      </c>
      <c r="J4" s="3" t="s">
        <v>114</v>
      </c>
    </row>
    <row r="5" spans="1:10" x14ac:dyDescent="0.25">
      <c r="A5" s="22" t="str">
        <f>IF(OR('Project Inputs'!B18="",0&gt;='Project Inputs'!B19),"",'Project Inputs'!B18+0)</f>
        <v/>
      </c>
      <c r="B5" s="5" t="str">
        <f>IF(A5="","",IF(A5&lt;'Project Inputs'!B11+'Project Inputs'!B25,'Project Inputs'!B9,'Project Inputs'!B22*(1+'Project Inputs'!B23)^(A5-('Project Inputs'!B11+'Project Inputs'!B25))))</f>
        <v/>
      </c>
      <c r="C5" s="5" t="str">
        <f>IF(B5="","",MAX(0,B5-'Project Inputs'!B9))</f>
        <v/>
      </c>
      <c r="D5" s="23" t="str">
        <f>IF(A5="","",'Project Inputs'!B14*(1+'Project Inputs'!B24)^0)</f>
        <v/>
      </c>
      <c r="E5" s="23" t="str">
        <f>IF(A5="","",'Project Inputs'!B15*(1+'Project Inputs'!B24)^0)</f>
        <v/>
      </c>
      <c r="F5" s="5" t="str">
        <f t="shared" ref="F5:F24" si="0">IF(C5="","",C5/100*D5)</f>
        <v/>
      </c>
      <c r="G5" s="5" t="str">
        <f t="shared" ref="G5:G24" si="1">IF(C5="","",C5/100*E5)</f>
        <v/>
      </c>
      <c r="H5" s="5" t="str">
        <f>IF(F5="","",F5*'Project Inputs'!B16)</f>
        <v/>
      </c>
      <c r="I5" s="5" t="str">
        <f>IF(G5="","",G5*'Project Inputs'!B17)</f>
        <v/>
      </c>
      <c r="J5" s="5" t="str">
        <f t="shared" ref="J5:J24" si="2">IF(H5="","",H5+I5)</f>
        <v/>
      </c>
    </row>
    <row r="6" spans="1:10" x14ac:dyDescent="0.25">
      <c r="A6" s="24" t="str">
        <f>IF(OR('Project Inputs'!B18="",1&gt;='Project Inputs'!B19),"",'Project Inputs'!B18+1)</f>
        <v/>
      </c>
      <c r="B6" s="7" t="str">
        <f>IF(A6="","",IF(A6&lt;'Project Inputs'!B11+'Project Inputs'!B25,'Project Inputs'!B9,'Project Inputs'!B22*(1+'Project Inputs'!B23)^(A6-('Project Inputs'!B11+'Project Inputs'!B25))))</f>
        <v/>
      </c>
      <c r="C6" s="7" t="str">
        <f>IF(B6="","",MAX(0,B6-'Project Inputs'!B9))</f>
        <v/>
      </c>
      <c r="D6" s="25" t="str">
        <f>IF(A6="","",'Project Inputs'!B14*(1+'Project Inputs'!B24)^1)</f>
        <v/>
      </c>
      <c r="E6" s="25" t="str">
        <f>IF(A6="","",'Project Inputs'!B15*(1+'Project Inputs'!B24)^1)</f>
        <v/>
      </c>
      <c r="F6" s="7" t="str">
        <f t="shared" si="0"/>
        <v/>
      </c>
      <c r="G6" s="7" t="str">
        <f t="shared" si="1"/>
        <v/>
      </c>
      <c r="H6" s="7" t="str">
        <f>IF(F6="","",F6*'Project Inputs'!B16)</f>
        <v/>
      </c>
      <c r="I6" s="7" t="str">
        <f>IF(G6="","",G6*'Project Inputs'!B17)</f>
        <v/>
      </c>
      <c r="J6" s="7" t="str">
        <f t="shared" si="2"/>
        <v/>
      </c>
    </row>
    <row r="7" spans="1:10" x14ac:dyDescent="0.25">
      <c r="A7" s="24" t="str">
        <f>IF(OR('Project Inputs'!B18="",2&gt;='Project Inputs'!B19),"",'Project Inputs'!B18+2)</f>
        <v/>
      </c>
      <c r="B7" s="7" t="str">
        <f>IF(A7="","",IF(A7&lt;'Project Inputs'!B11+'Project Inputs'!B25,'Project Inputs'!B9,'Project Inputs'!B22*(1+'Project Inputs'!B23)^(A7-('Project Inputs'!B11+'Project Inputs'!B25))))</f>
        <v/>
      </c>
      <c r="C7" s="7" t="str">
        <f>IF(B7="","",MAX(0,B7-'Project Inputs'!B9))</f>
        <v/>
      </c>
      <c r="D7" s="25" t="str">
        <f>IF(A7="","",'Project Inputs'!B14*(1+'Project Inputs'!B24)^2)</f>
        <v/>
      </c>
      <c r="E7" s="25" t="str">
        <f>IF(A7="","",'Project Inputs'!B15*(1+'Project Inputs'!B24)^2)</f>
        <v/>
      </c>
      <c r="F7" s="7" t="str">
        <f t="shared" si="0"/>
        <v/>
      </c>
      <c r="G7" s="7" t="str">
        <f t="shared" si="1"/>
        <v/>
      </c>
      <c r="H7" s="7" t="str">
        <f>IF(F7="","",F7*'Project Inputs'!B16)</f>
        <v/>
      </c>
      <c r="I7" s="7" t="str">
        <f>IF(G7="","",G7*'Project Inputs'!B17)</f>
        <v/>
      </c>
      <c r="J7" s="7" t="str">
        <f t="shared" si="2"/>
        <v/>
      </c>
    </row>
    <row r="8" spans="1:10" x14ac:dyDescent="0.25">
      <c r="A8" s="24" t="str">
        <f>IF(OR('Project Inputs'!B18="",3&gt;='Project Inputs'!B19),"",'Project Inputs'!B18+3)</f>
        <v/>
      </c>
      <c r="B8" s="7" t="str">
        <f>IF(A8="","",IF(A8&lt;'Project Inputs'!B11+'Project Inputs'!B25,'Project Inputs'!B9,'Project Inputs'!B22*(1+'Project Inputs'!B23)^(A8-('Project Inputs'!B11+'Project Inputs'!B25))))</f>
        <v/>
      </c>
      <c r="C8" s="7" t="str">
        <f>IF(B8="","",MAX(0,B8-'Project Inputs'!B9))</f>
        <v/>
      </c>
      <c r="D8" s="25" t="str">
        <f>IF(A8="","",'Project Inputs'!B14*(1+'Project Inputs'!B24)^3)</f>
        <v/>
      </c>
      <c r="E8" s="25" t="str">
        <f>IF(A8="","",'Project Inputs'!B15*(1+'Project Inputs'!B24)^3)</f>
        <v/>
      </c>
      <c r="F8" s="7" t="str">
        <f t="shared" si="0"/>
        <v/>
      </c>
      <c r="G8" s="7" t="str">
        <f t="shared" si="1"/>
        <v/>
      </c>
      <c r="H8" s="7" t="str">
        <f>IF(F8="","",F8*'Project Inputs'!B16)</f>
        <v/>
      </c>
      <c r="I8" s="7" t="str">
        <f>IF(G8="","",G8*'Project Inputs'!B17)</f>
        <v/>
      </c>
      <c r="J8" s="7" t="str">
        <f t="shared" si="2"/>
        <v/>
      </c>
    </row>
    <row r="9" spans="1:10" x14ac:dyDescent="0.25">
      <c r="A9" s="24" t="str">
        <f>IF(OR('Project Inputs'!B18="",4&gt;='Project Inputs'!B19),"",'Project Inputs'!B18+4)</f>
        <v/>
      </c>
      <c r="B9" s="7" t="str">
        <f>IF(A9="","",IF(A9&lt;'Project Inputs'!B11+'Project Inputs'!B25,'Project Inputs'!B9,'Project Inputs'!B22*(1+'Project Inputs'!B23)^(A9-('Project Inputs'!B11+'Project Inputs'!B25))))</f>
        <v/>
      </c>
      <c r="C9" s="7" t="str">
        <f>IF(B9="","",MAX(0,B9-'Project Inputs'!B9))</f>
        <v/>
      </c>
      <c r="D9" s="25" t="str">
        <f>IF(A9="","",'Project Inputs'!B14*(1+'Project Inputs'!B24)^4)</f>
        <v/>
      </c>
      <c r="E9" s="25" t="str">
        <f>IF(A9="","",'Project Inputs'!B15*(1+'Project Inputs'!B24)^4)</f>
        <v/>
      </c>
      <c r="F9" s="7" t="str">
        <f t="shared" si="0"/>
        <v/>
      </c>
      <c r="G9" s="7" t="str">
        <f t="shared" si="1"/>
        <v/>
      </c>
      <c r="H9" s="7" t="str">
        <f>IF(F9="","",F9*'Project Inputs'!B16)</f>
        <v/>
      </c>
      <c r="I9" s="7" t="str">
        <f>IF(G9="","",G9*'Project Inputs'!B17)</f>
        <v/>
      </c>
      <c r="J9" s="7" t="str">
        <f t="shared" si="2"/>
        <v/>
      </c>
    </row>
    <row r="10" spans="1:10" x14ac:dyDescent="0.25">
      <c r="A10" s="24" t="str">
        <f>IF(OR('Project Inputs'!B18="",5&gt;='Project Inputs'!B19),"",'Project Inputs'!B18+5)</f>
        <v/>
      </c>
      <c r="B10" s="7" t="str">
        <f>IF(A10="","",IF(A10&lt;'Project Inputs'!B11+'Project Inputs'!B25,'Project Inputs'!B9,'Project Inputs'!B22*(1+'Project Inputs'!B23)^(A10-('Project Inputs'!B11+'Project Inputs'!B25))))</f>
        <v/>
      </c>
      <c r="C10" s="7" t="str">
        <f>IF(B10="","",MAX(0,B10-'Project Inputs'!B9))</f>
        <v/>
      </c>
      <c r="D10" s="25" t="str">
        <f>IF(A10="","",'Project Inputs'!B14*(1+'Project Inputs'!B24)^5)</f>
        <v/>
      </c>
      <c r="E10" s="25" t="str">
        <f>IF(A10="","",'Project Inputs'!B15*(1+'Project Inputs'!B24)^5)</f>
        <v/>
      </c>
      <c r="F10" s="7" t="str">
        <f t="shared" si="0"/>
        <v/>
      </c>
      <c r="G10" s="7" t="str">
        <f t="shared" si="1"/>
        <v/>
      </c>
      <c r="H10" s="7" t="str">
        <f>IF(F10="","",F10*'Project Inputs'!B16)</f>
        <v/>
      </c>
      <c r="I10" s="7" t="str">
        <f>IF(G10="","",G10*'Project Inputs'!B17)</f>
        <v/>
      </c>
      <c r="J10" s="7" t="str">
        <f t="shared" si="2"/>
        <v/>
      </c>
    </row>
    <row r="11" spans="1:10" x14ac:dyDescent="0.25">
      <c r="A11" s="24" t="str">
        <f>IF(OR('Project Inputs'!B18="",6&gt;='Project Inputs'!B19),"",'Project Inputs'!B18+6)</f>
        <v/>
      </c>
      <c r="B11" s="7" t="str">
        <f>IF(A11="","",IF(A11&lt;'Project Inputs'!B11+'Project Inputs'!B25,'Project Inputs'!B9,'Project Inputs'!B22*(1+'Project Inputs'!B23)^(A11-('Project Inputs'!B11+'Project Inputs'!B25))))</f>
        <v/>
      </c>
      <c r="C11" s="7" t="str">
        <f>IF(B11="","",MAX(0,B11-'Project Inputs'!B9))</f>
        <v/>
      </c>
      <c r="D11" s="25" t="str">
        <f>IF(A11="","",'Project Inputs'!B14*(1+'Project Inputs'!B24)^6)</f>
        <v/>
      </c>
      <c r="E11" s="25" t="str">
        <f>IF(A11="","",'Project Inputs'!B15*(1+'Project Inputs'!B24)^6)</f>
        <v/>
      </c>
      <c r="F11" s="7" t="str">
        <f t="shared" si="0"/>
        <v/>
      </c>
      <c r="G11" s="7" t="str">
        <f t="shared" si="1"/>
        <v/>
      </c>
      <c r="H11" s="7" t="str">
        <f>IF(F11="","",F11*'Project Inputs'!B16)</f>
        <v/>
      </c>
      <c r="I11" s="7" t="str">
        <f>IF(G11="","",G11*'Project Inputs'!B17)</f>
        <v/>
      </c>
      <c r="J11" s="7" t="str">
        <f t="shared" si="2"/>
        <v/>
      </c>
    </row>
    <row r="12" spans="1:10" x14ac:dyDescent="0.25">
      <c r="A12" s="24" t="str">
        <f>IF(OR('Project Inputs'!B18="",7&gt;='Project Inputs'!B19),"",'Project Inputs'!B18+7)</f>
        <v/>
      </c>
      <c r="B12" s="7" t="str">
        <f>IF(A12="","",IF(A12&lt;'Project Inputs'!B11+'Project Inputs'!B25,'Project Inputs'!B9,'Project Inputs'!B22*(1+'Project Inputs'!B23)^(A12-('Project Inputs'!B11+'Project Inputs'!B25))))</f>
        <v/>
      </c>
      <c r="C12" s="7" t="str">
        <f>IF(B12="","",MAX(0,B12-'Project Inputs'!B9))</f>
        <v/>
      </c>
      <c r="D12" s="25" t="str">
        <f>IF(A12="","",'Project Inputs'!B14*(1+'Project Inputs'!B24)^7)</f>
        <v/>
      </c>
      <c r="E12" s="25" t="str">
        <f>IF(A12="","",'Project Inputs'!B15*(1+'Project Inputs'!B24)^7)</f>
        <v/>
      </c>
      <c r="F12" s="7" t="str">
        <f t="shared" si="0"/>
        <v/>
      </c>
      <c r="G12" s="7" t="str">
        <f t="shared" si="1"/>
        <v/>
      </c>
      <c r="H12" s="7" t="str">
        <f>IF(F12="","",F12*'Project Inputs'!B16)</f>
        <v/>
      </c>
      <c r="I12" s="7" t="str">
        <f>IF(G12="","",G12*'Project Inputs'!B17)</f>
        <v/>
      </c>
      <c r="J12" s="7" t="str">
        <f t="shared" si="2"/>
        <v/>
      </c>
    </row>
    <row r="13" spans="1:10" x14ac:dyDescent="0.25">
      <c r="A13" s="24" t="str">
        <f>IF(OR('Project Inputs'!B18="",8&gt;='Project Inputs'!B19),"",'Project Inputs'!B18+8)</f>
        <v/>
      </c>
      <c r="B13" s="7" t="str">
        <f>IF(A13="","",IF(A13&lt;'Project Inputs'!B11+'Project Inputs'!B25,'Project Inputs'!B9,'Project Inputs'!B22*(1+'Project Inputs'!B23)^(A13-('Project Inputs'!B11+'Project Inputs'!B25))))</f>
        <v/>
      </c>
      <c r="C13" s="7" t="str">
        <f>IF(B13="","",MAX(0,B13-'Project Inputs'!B9))</f>
        <v/>
      </c>
      <c r="D13" s="25" t="str">
        <f>IF(A13="","",'Project Inputs'!B14*(1+'Project Inputs'!B24)^8)</f>
        <v/>
      </c>
      <c r="E13" s="25" t="str">
        <f>IF(A13="","",'Project Inputs'!B15*(1+'Project Inputs'!B24)^8)</f>
        <v/>
      </c>
      <c r="F13" s="7" t="str">
        <f t="shared" si="0"/>
        <v/>
      </c>
      <c r="G13" s="7" t="str">
        <f t="shared" si="1"/>
        <v/>
      </c>
      <c r="H13" s="7" t="str">
        <f>IF(F13="","",F13*'Project Inputs'!B16)</f>
        <v/>
      </c>
      <c r="I13" s="7" t="str">
        <f>IF(G13="","",G13*'Project Inputs'!B17)</f>
        <v/>
      </c>
      <c r="J13" s="7" t="str">
        <f t="shared" si="2"/>
        <v/>
      </c>
    </row>
    <row r="14" spans="1:10" x14ac:dyDescent="0.25">
      <c r="A14" s="24" t="str">
        <f>IF(OR('Project Inputs'!B18="",9&gt;='Project Inputs'!B19),"",'Project Inputs'!B18+9)</f>
        <v/>
      </c>
      <c r="B14" s="7" t="str">
        <f>IF(A14="","",IF(A14&lt;'Project Inputs'!B11+'Project Inputs'!B25,'Project Inputs'!B9,'Project Inputs'!B22*(1+'Project Inputs'!B23)^(A14-('Project Inputs'!B11+'Project Inputs'!B25))))</f>
        <v/>
      </c>
      <c r="C14" s="7" t="str">
        <f>IF(B14="","",MAX(0,B14-'Project Inputs'!B9))</f>
        <v/>
      </c>
      <c r="D14" s="25" t="str">
        <f>IF(A14="","",'Project Inputs'!B14*(1+'Project Inputs'!B24)^9)</f>
        <v/>
      </c>
      <c r="E14" s="25" t="str">
        <f>IF(A14="","",'Project Inputs'!B15*(1+'Project Inputs'!B24)^9)</f>
        <v/>
      </c>
      <c r="F14" s="7" t="str">
        <f t="shared" si="0"/>
        <v/>
      </c>
      <c r="G14" s="7" t="str">
        <f t="shared" si="1"/>
        <v/>
      </c>
      <c r="H14" s="7" t="str">
        <f>IF(F14="","",F14*'Project Inputs'!B16)</f>
        <v/>
      </c>
      <c r="I14" s="7" t="str">
        <f>IF(G14="","",G14*'Project Inputs'!B17)</f>
        <v/>
      </c>
      <c r="J14" s="7" t="str">
        <f t="shared" si="2"/>
        <v/>
      </c>
    </row>
    <row r="15" spans="1:10" x14ac:dyDescent="0.25">
      <c r="A15" s="24" t="str">
        <f>IF(OR('Project Inputs'!B18="",10&gt;='Project Inputs'!B19),"",'Project Inputs'!B18+10)</f>
        <v/>
      </c>
      <c r="B15" s="7" t="str">
        <f>IF(A15="","",IF(A15&lt;'Project Inputs'!B11+'Project Inputs'!B25,'Project Inputs'!B9,'Project Inputs'!B22*(1+'Project Inputs'!B23)^(A15-('Project Inputs'!B11+'Project Inputs'!B25))))</f>
        <v/>
      </c>
      <c r="C15" s="7" t="str">
        <f>IF(B15="","",MAX(0,B15-'Project Inputs'!B9))</f>
        <v/>
      </c>
      <c r="D15" s="25" t="str">
        <f>IF(A15="","",'Project Inputs'!B14*(1+'Project Inputs'!B24)^10)</f>
        <v/>
      </c>
      <c r="E15" s="25" t="str">
        <f>IF(A15="","",'Project Inputs'!B15*(1+'Project Inputs'!B24)^10)</f>
        <v/>
      </c>
      <c r="F15" s="7" t="str">
        <f t="shared" si="0"/>
        <v/>
      </c>
      <c r="G15" s="7" t="str">
        <f t="shared" si="1"/>
        <v/>
      </c>
      <c r="H15" s="7" t="str">
        <f>IF(F15="","",F15*'Project Inputs'!B16)</f>
        <v/>
      </c>
      <c r="I15" s="7" t="str">
        <f>IF(G15="","",G15*'Project Inputs'!B17)</f>
        <v/>
      </c>
      <c r="J15" s="7" t="str">
        <f t="shared" si="2"/>
        <v/>
      </c>
    </row>
    <row r="16" spans="1:10" x14ac:dyDescent="0.25">
      <c r="A16" s="24" t="str">
        <f>IF(OR('Project Inputs'!B18="",11&gt;='Project Inputs'!B19),"",'Project Inputs'!B18+11)</f>
        <v/>
      </c>
      <c r="B16" s="7" t="str">
        <f>IF(A16="","",IF(A16&lt;'Project Inputs'!B11+'Project Inputs'!B25,'Project Inputs'!B9,'Project Inputs'!B22*(1+'Project Inputs'!B23)^(A16-('Project Inputs'!B11+'Project Inputs'!B25))))</f>
        <v/>
      </c>
      <c r="C16" s="7" t="str">
        <f>IF(B16="","",MAX(0,B16-'Project Inputs'!B9))</f>
        <v/>
      </c>
      <c r="D16" s="25" t="str">
        <f>IF(A16="","",'Project Inputs'!B14*(1+'Project Inputs'!B24)^11)</f>
        <v/>
      </c>
      <c r="E16" s="25" t="str">
        <f>IF(A16="","",'Project Inputs'!B15*(1+'Project Inputs'!B24)^11)</f>
        <v/>
      </c>
      <c r="F16" s="7" t="str">
        <f t="shared" si="0"/>
        <v/>
      </c>
      <c r="G16" s="7" t="str">
        <f t="shared" si="1"/>
        <v/>
      </c>
      <c r="H16" s="7" t="str">
        <f>IF(F16="","",F16*'Project Inputs'!B16)</f>
        <v/>
      </c>
      <c r="I16" s="7" t="str">
        <f>IF(G16="","",G16*'Project Inputs'!B17)</f>
        <v/>
      </c>
      <c r="J16" s="7" t="str">
        <f t="shared" si="2"/>
        <v/>
      </c>
    </row>
    <row r="17" spans="1:10" x14ac:dyDescent="0.25">
      <c r="A17" s="24" t="str">
        <f>IF(OR('Project Inputs'!B18="",12&gt;='Project Inputs'!B19),"",'Project Inputs'!B18+12)</f>
        <v/>
      </c>
      <c r="B17" s="7" t="str">
        <f>IF(A17="","",IF(A17&lt;'Project Inputs'!B11+'Project Inputs'!B25,'Project Inputs'!B9,'Project Inputs'!B22*(1+'Project Inputs'!B23)^(A17-('Project Inputs'!B11+'Project Inputs'!B25))))</f>
        <v/>
      </c>
      <c r="C17" s="7" t="str">
        <f>IF(B17="","",MAX(0,B17-'Project Inputs'!B9))</f>
        <v/>
      </c>
      <c r="D17" s="25" t="str">
        <f>IF(A17="","",'Project Inputs'!B14*(1+'Project Inputs'!B24)^12)</f>
        <v/>
      </c>
      <c r="E17" s="25" t="str">
        <f>IF(A17="","",'Project Inputs'!B15*(1+'Project Inputs'!B24)^12)</f>
        <v/>
      </c>
      <c r="F17" s="7" t="str">
        <f t="shared" si="0"/>
        <v/>
      </c>
      <c r="G17" s="7" t="str">
        <f t="shared" si="1"/>
        <v/>
      </c>
      <c r="H17" s="7" t="str">
        <f>IF(F17="","",F17*'Project Inputs'!B16)</f>
        <v/>
      </c>
      <c r="I17" s="7" t="str">
        <f>IF(G17="","",G17*'Project Inputs'!B17)</f>
        <v/>
      </c>
      <c r="J17" s="7" t="str">
        <f t="shared" si="2"/>
        <v/>
      </c>
    </row>
    <row r="18" spans="1:10" x14ac:dyDescent="0.25">
      <c r="A18" s="24" t="str">
        <f>IF(OR('Project Inputs'!B18="",13&gt;='Project Inputs'!B19),"",'Project Inputs'!B18+13)</f>
        <v/>
      </c>
      <c r="B18" s="7" t="str">
        <f>IF(A18="","",IF(A18&lt;'Project Inputs'!B11+'Project Inputs'!B25,'Project Inputs'!B9,'Project Inputs'!B22*(1+'Project Inputs'!B23)^(A18-('Project Inputs'!B11+'Project Inputs'!B25))))</f>
        <v/>
      </c>
      <c r="C18" s="7" t="str">
        <f>IF(B18="","",MAX(0,B18-'Project Inputs'!B9))</f>
        <v/>
      </c>
      <c r="D18" s="25" t="str">
        <f>IF(A18="","",'Project Inputs'!B14*(1+'Project Inputs'!B24)^13)</f>
        <v/>
      </c>
      <c r="E18" s="25" t="str">
        <f>IF(A18="","",'Project Inputs'!B15*(1+'Project Inputs'!B24)^13)</f>
        <v/>
      </c>
      <c r="F18" s="7" t="str">
        <f t="shared" si="0"/>
        <v/>
      </c>
      <c r="G18" s="7" t="str">
        <f t="shared" si="1"/>
        <v/>
      </c>
      <c r="H18" s="7" t="str">
        <f>IF(F18="","",F18*'Project Inputs'!B16)</f>
        <v/>
      </c>
      <c r="I18" s="7" t="str">
        <f>IF(G18="","",G18*'Project Inputs'!B17)</f>
        <v/>
      </c>
      <c r="J18" s="7" t="str">
        <f t="shared" si="2"/>
        <v/>
      </c>
    </row>
    <row r="19" spans="1:10" x14ac:dyDescent="0.25">
      <c r="A19" s="24" t="str">
        <f>IF(OR('Project Inputs'!B18="",14&gt;='Project Inputs'!B19),"",'Project Inputs'!B18+14)</f>
        <v/>
      </c>
      <c r="B19" s="7" t="str">
        <f>IF(A19="","",IF(A19&lt;'Project Inputs'!B11+'Project Inputs'!B25,'Project Inputs'!B9,'Project Inputs'!B22*(1+'Project Inputs'!B23)^(A19-('Project Inputs'!B11+'Project Inputs'!B25))))</f>
        <v/>
      </c>
      <c r="C19" s="7" t="str">
        <f>IF(B19="","",MAX(0,B19-'Project Inputs'!B9))</f>
        <v/>
      </c>
      <c r="D19" s="25" t="str">
        <f>IF(A19="","",'Project Inputs'!B14*(1+'Project Inputs'!B24)^14)</f>
        <v/>
      </c>
      <c r="E19" s="25" t="str">
        <f>IF(A19="","",'Project Inputs'!B15*(1+'Project Inputs'!B24)^14)</f>
        <v/>
      </c>
      <c r="F19" s="7" t="str">
        <f t="shared" si="0"/>
        <v/>
      </c>
      <c r="G19" s="7" t="str">
        <f t="shared" si="1"/>
        <v/>
      </c>
      <c r="H19" s="7" t="str">
        <f>IF(F19="","",F19*'Project Inputs'!B16)</f>
        <v/>
      </c>
      <c r="I19" s="7" t="str">
        <f>IF(G19="","",G19*'Project Inputs'!B17)</f>
        <v/>
      </c>
      <c r="J19" s="7" t="str">
        <f t="shared" si="2"/>
        <v/>
      </c>
    </row>
    <row r="20" spans="1:10" x14ac:dyDescent="0.25">
      <c r="A20" s="24" t="str">
        <f>IF(OR('Project Inputs'!B18="",15&gt;='Project Inputs'!B19),"",'Project Inputs'!B18+15)</f>
        <v/>
      </c>
      <c r="B20" s="7" t="str">
        <f>IF(A20="","",IF(A20&lt;'Project Inputs'!B11+'Project Inputs'!B25,'Project Inputs'!B9,'Project Inputs'!B22*(1+'Project Inputs'!B23)^(A20-('Project Inputs'!B11+'Project Inputs'!B25))))</f>
        <v/>
      </c>
      <c r="C20" s="7" t="str">
        <f>IF(B20="","",MAX(0,B20-'Project Inputs'!B9))</f>
        <v/>
      </c>
      <c r="D20" s="25" t="str">
        <f>IF(A20="","",'Project Inputs'!B14*(1+'Project Inputs'!B24)^15)</f>
        <v/>
      </c>
      <c r="E20" s="25" t="str">
        <f>IF(A20="","",'Project Inputs'!B15*(1+'Project Inputs'!B24)^15)</f>
        <v/>
      </c>
      <c r="F20" s="7" t="str">
        <f t="shared" si="0"/>
        <v/>
      </c>
      <c r="G20" s="7" t="str">
        <f t="shared" si="1"/>
        <v/>
      </c>
      <c r="H20" s="7" t="str">
        <f>IF(F20="","",F20*'Project Inputs'!B16)</f>
        <v/>
      </c>
      <c r="I20" s="7" t="str">
        <f>IF(G20="","",G20*'Project Inputs'!B17)</f>
        <v/>
      </c>
      <c r="J20" s="7" t="str">
        <f t="shared" si="2"/>
        <v/>
      </c>
    </row>
    <row r="21" spans="1:10" x14ac:dyDescent="0.25">
      <c r="A21" s="24" t="str">
        <f>IF(OR('Project Inputs'!B18="",16&gt;='Project Inputs'!B19),"",'Project Inputs'!B18+16)</f>
        <v/>
      </c>
      <c r="B21" s="7" t="str">
        <f>IF(A21="","",IF(A21&lt;'Project Inputs'!B11+'Project Inputs'!B25,'Project Inputs'!B9,'Project Inputs'!B22*(1+'Project Inputs'!B23)^(A21-('Project Inputs'!B11+'Project Inputs'!B25))))</f>
        <v/>
      </c>
      <c r="C21" s="7" t="str">
        <f>IF(B21="","",MAX(0,B21-'Project Inputs'!B9))</f>
        <v/>
      </c>
      <c r="D21" s="25" t="str">
        <f>IF(A21="","",'Project Inputs'!B14*(1+'Project Inputs'!B24)^16)</f>
        <v/>
      </c>
      <c r="E21" s="25" t="str">
        <f>IF(A21="","",'Project Inputs'!B15*(1+'Project Inputs'!B24)^16)</f>
        <v/>
      </c>
      <c r="F21" s="7" t="str">
        <f t="shared" si="0"/>
        <v/>
      </c>
      <c r="G21" s="7" t="str">
        <f t="shared" si="1"/>
        <v/>
      </c>
      <c r="H21" s="7" t="str">
        <f>IF(F21="","",F21*'Project Inputs'!B16)</f>
        <v/>
      </c>
      <c r="I21" s="7" t="str">
        <f>IF(G21="","",G21*'Project Inputs'!B17)</f>
        <v/>
      </c>
      <c r="J21" s="7" t="str">
        <f t="shared" si="2"/>
        <v/>
      </c>
    </row>
    <row r="22" spans="1:10" x14ac:dyDescent="0.25">
      <c r="A22" s="24" t="str">
        <f>IF(OR('Project Inputs'!B18="",17&gt;='Project Inputs'!B19),"",'Project Inputs'!B18+17)</f>
        <v/>
      </c>
      <c r="B22" s="7" t="str">
        <f>IF(A22="","",IF(A22&lt;'Project Inputs'!B11+'Project Inputs'!B25,'Project Inputs'!B9,'Project Inputs'!B22*(1+'Project Inputs'!B23)^(A22-('Project Inputs'!B11+'Project Inputs'!B25))))</f>
        <v/>
      </c>
      <c r="C22" s="7" t="str">
        <f>IF(B22="","",MAX(0,B22-'Project Inputs'!B9))</f>
        <v/>
      </c>
      <c r="D22" s="25" t="str">
        <f>IF(A22="","",'Project Inputs'!B14*(1+'Project Inputs'!B24)^17)</f>
        <v/>
      </c>
      <c r="E22" s="25" t="str">
        <f>IF(A22="","",'Project Inputs'!B15*(1+'Project Inputs'!B24)^17)</f>
        <v/>
      </c>
      <c r="F22" s="7" t="str">
        <f t="shared" si="0"/>
        <v/>
      </c>
      <c r="G22" s="7" t="str">
        <f t="shared" si="1"/>
        <v/>
      </c>
      <c r="H22" s="7" t="str">
        <f>IF(F22="","",F22*'Project Inputs'!B16)</f>
        <v/>
      </c>
      <c r="I22" s="7" t="str">
        <f>IF(G22="","",G22*'Project Inputs'!B17)</f>
        <v/>
      </c>
      <c r="J22" s="7" t="str">
        <f t="shared" si="2"/>
        <v/>
      </c>
    </row>
    <row r="23" spans="1:10" x14ac:dyDescent="0.25">
      <c r="A23" s="24" t="str">
        <f>IF(OR('Project Inputs'!B18="",18&gt;='Project Inputs'!B19),"",'Project Inputs'!B18+18)</f>
        <v/>
      </c>
      <c r="B23" s="7" t="str">
        <f>IF(A23="","",IF(A23&lt;'Project Inputs'!B11+'Project Inputs'!B25,'Project Inputs'!B9,'Project Inputs'!B22*(1+'Project Inputs'!B23)^(A23-('Project Inputs'!B11+'Project Inputs'!B25))))</f>
        <v/>
      </c>
      <c r="C23" s="7" t="str">
        <f>IF(B23="","",MAX(0,B23-'Project Inputs'!B9))</f>
        <v/>
      </c>
      <c r="D23" s="25" t="str">
        <f>IF(A23="","",'Project Inputs'!B14*(1+'Project Inputs'!B24)^18)</f>
        <v/>
      </c>
      <c r="E23" s="25" t="str">
        <f>IF(A23="","",'Project Inputs'!B15*(1+'Project Inputs'!B24)^18)</f>
        <v/>
      </c>
      <c r="F23" s="7" t="str">
        <f t="shared" si="0"/>
        <v/>
      </c>
      <c r="G23" s="7" t="str">
        <f t="shared" si="1"/>
        <v/>
      </c>
      <c r="H23" s="7" t="str">
        <f>IF(F23="","",F23*'Project Inputs'!B16)</f>
        <v/>
      </c>
      <c r="I23" s="7" t="str">
        <f>IF(G23="","",G23*'Project Inputs'!B17)</f>
        <v/>
      </c>
      <c r="J23" s="7" t="str">
        <f t="shared" si="2"/>
        <v/>
      </c>
    </row>
    <row r="24" spans="1:10" x14ac:dyDescent="0.25">
      <c r="A24" s="24" t="str">
        <f>IF(OR('Project Inputs'!B18="",19&gt;='Project Inputs'!B19),"",'Project Inputs'!B18+19)</f>
        <v/>
      </c>
      <c r="B24" s="7" t="str">
        <f>IF(A24="","",IF(A24&lt;'Project Inputs'!B11+'Project Inputs'!B25,'Project Inputs'!B9,'Project Inputs'!B22*(1+'Project Inputs'!B23)^(A24-('Project Inputs'!B11+'Project Inputs'!B25))))</f>
        <v/>
      </c>
      <c r="C24" s="7" t="str">
        <f>IF(B24="","",MAX(0,B24-'Project Inputs'!B9))</f>
        <v/>
      </c>
      <c r="D24" s="25" t="str">
        <f>IF(A24="","",'Project Inputs'!B14*(1+'Project Inputs'!B24)^19)</f>
        <v/>
      </c>
      <c r="E24" s="25" t="str">
        <f>IF(A24="","",'Project Inputs'!B15*(1+'Project Inputs'!B24)^19)</f>
        <v/>
      </c>
      <c r="F24" s="7" t="str">
        <f t="shared" si="0"/>
        <v/>
      </c>
      <c r="G24" s="7" t="str">
        <f t="shared" si="1"/>
        <v/>
      </c>
      <c r="H24" s="7" t="str">
        <f>IF(F24="","",F24*'Project Inputs'!B16)</f>
        <v/>
      </c>
      <c r="I24" s="7" t="str">
        <f>IF(G24="","",G24*'Project Inputs'!B17)</f>
        <v/>
      </c>
      <c r="J24" s="7" t="str">
        <f t="shared" si="2"/>
        <v/>
      </c>
    </row>
    <row r="25" spans="1:10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1.95" customHeight="1" x14ac:dyDescent="0.25">
      <c r="A27" s="35" t="s">
        <v>115</v>
      </c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90" x14ac:dyDescent="0.25">
      <c r="A28" s="4" t="s">
        <v>130</v>
      </c>
      <c r="B28" s="5">
        <f>SUM(H5:H24)</f>
        <v>0</v>
      </c>
      <c r="C28" s="1"/>
      <c r="D28" s="1"/>
      <c r="E28" s="1"/>
      <c r="F28" s="1"/>
      <c r="G28" s="1"/>
      <c r="H28" s="1"/>
      <c r="I28" s="1"/>
      <c r="J28" s="1"/>
    </row>
    <row r="29" spans="1:10" ht="90" x14ac:dyDescent="0.25">
      <c r="A29" s="6" t="s">
        <v>131</v>
      </c>
      <c r="B29" s="7">
        <f>SUM(I5:I24)</f>
        <v>0</v>
      </c>
      <c r="C29" s="1"/>
      <c r="D29" s="1"/>
      <c r="E29" s="1"/>
      <c r="F29" s="1"/>
      <c r="G29" s="1"/>
      <c r="H29" s="1"/>
      <c r="I29" s="1"/>
      <c r="J29" s="1"/>
    </row>
    <row r="30" spans="1:10" ht="90" x14ac:dyDescent="0.25">
      <c r="A30" s="6" t="s">
        <v>132</v>
      </c>
      <c r="B30" s="26">
        <f>SUM(J5:J24)</f>
        <v>0</v>
      </c>
      <c r="C30" s="1"/>
      <c r="D30" s="1"/>
      <c r="E30" s="1"/>
      <c r="F30" s="1"/>
      <c r="G30" s="1"/>
      <c r="H30" s="1"/>
      <c r="I30" s="1"/>
      <c r="J30" s="1"/>
    </row>
  </sheetData>
  <mergeCells count="3">
    <mergeCell ref="A1:J1"/>
    <mergeCell ref="A27:J27"/>
    <mergeCell ref="A2:J2"/>
  </mergeCell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4"/>
  <sheetViews>
    <sheetView showGridLines="0" tabSelected="1" zoomScale="90" workbookViewId="0">
      <pane ySplit="3" topLeftCell="A4" activePane="bottomLeft" state="frozen"/>
      <selection pane="bottomLeft" activeCell="D26" sqref="D26"/>
    </sheetView>
  </sheetViews>
  <sheetFormatPr defaultRowHeight="15" x14ac:dyDescent="0.25"/>
  <cols>
    <col min="1" max="1" width="24" customWidth="1"/>
    <col min="2" max="2" width="20" customWidth="1"/>
    <col min="3" max="3" width="18" customWidth="1"/>
    <col min="4" max="7" width="20" customWidth="1"/>
    <col min="8" max="8" width="24" customWidth="1"/>
  </cols>
  <sheetData>
    <row r="1" spans="1:8" ht="23.25" x14ac:dyDescent="0.25">
      <c r="A1" s="36" t="s">
        <v>81</v>
      </c>
      <c r="B1" s="34"/>
      <c r="C1" s="34"/>
      <c r="D1" s="34"/>
      <c r="E1" s="34"/>
      <c r="F1" s="34"/>
      <c r="G1" s="34"/>
      <c r="H1" s="34"/>
    </row>
    <row r="2" spans="1:8" x14ac:dyDescent="0.25">
      <c r="A2" s="33" t="s">
        <v>82</v>
      </c>
      <c r="B2" s="34"/>
      <c r="C2" s="34"/>
      <c r="D2" s="34"/>
      <c r="E2" s="34"/>
      <c r="F2" s="34"/>
      <c r="G2" s="34"/>
      <c r="H2" s="34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21.95" customHeight="1" x14ac:dyDescent="0.25">
      <c r="A4" s="35" t="s">
        <v>116</v>
      </c>
      <c r="B4" s="34"/>
      <c r="C4" s="34"/>
      <c r="D4" s="34"/>
      <c r="E4" s="34"/>
      <c r="F4" s="34"/>
      <c r="G4" s="34"/>
      <c r="H4" s="34"/>
    </row>
    <row r="5" spans="1:8" ht="30" x14ac:dyDescent="0.25">
      <c r="A5" s="3" t="s">
        <v>83</v>
      </c>
      <c r="B5" s="3" t="s">
        <v>117</v>
      </c>
      <c r="C5" s="3" t="s">
        <v>118</v>
      </c>
      <c r="D5" s="3" t="s">
        <v>119</v>
      </c>
      <c r="E5" s="3" t="s">
        <v>120</v>
      </c>
      <c r="F5" s="3" t="s">
        <v>121</v>
      </c>
      <c r="G5" s="3" t="s">
        <v>122</v>
      </c>
      <c r="H5" s="3" t="s">
        <v>84</v>
      </c>
    </row>
    <row r="6" spans="1:8" x14ac:dyDescent="0.25">
      <c r="A6" s="4" t="s">
        <v>85</v>
      </c>
      <c r="B6" s="5">
        <f>'Project Inputs'!B10*1</f>
        <v>0</v>
      </c>
      <c r="C6" s="27">
        <f>IFERROR(B6/'Project Inputs'!B10-1,0)</f>
        <v>0</v>
      </c>
      <c r="D6" s="5">
        <f>MAX(0,B6-'Project Inputs'!B9)</f>
        <v>0</v>
      </c>
      <c r="E6" s="5">
        <f>D6/100*'Project Inputs'!B14*'Project Inputs'!B16</f>
        <v>0</v>
      </c>
      <c r="F6" s="5">
        <f>D6/100*'Project Inputs'!B15*'Project Inputs'!B17</f>
        <v>0</v>
      </c>
      <c r="G6" s="5">
        <f t="shared" ref="G6:G11" si="0">E6+F6</f>
        <v>0</v>
      </c>
      <c r="H6" s="28" t="str">
        <f>IF(B6=0,"ENTER INPUT",IF(B6&lt;'Project Inputs'!B9,"NO POSITIVE EXCESS VALUE",IF(B6&lt;'Project Inputs'!B10*0.8,"MATERIAL DOWNSIDE","")))</f>
        <v>ENTER INPUT</v>
      </c>
    </row>
    <row r="7" spans="1:8" x14ac:dyDescent="0.25">
      <c r="A7" s="6" t="s">
        <v>86</v>
      </c>
      <c r="B7" s="7">
        <f>'Project Inputs'!B10*0.9</f>
        <v>0</v>
      </c>
      <c r="C7" s="10">
        <f>IFERROR(B7/'Project Inputs'!B10-1,0)</f>
        <v>0</v>
      </c>
      <c r="D7" s="7">
        <f>MAX(0,B7-'Project Inputs'!B9)</f>
        <v>0</v>
      </c>
      <c r="E7" s="7">
        <f>D7/100*'Project Inputs'!B14*'Project Inputs'!B16</f>
        <v>0</v>
      </c>
      <c r="F7" s="7">
        <f>D7/100*'Project Inputs'!B15*'Project Inputs'!B17</f>
        <v>0</v>
      </c>
      <c r="G7" s="7">
        <f t="shared" si="0"/>
        <v>0</v>
      </c>
      <c r="H7" s="29" t="str">
        <f>IF(B7=0,"ENTER INPUT",IF(B7&lt;'Project Inputs'!B9,"NO POSITIVE EXCESS VALUE",IF(B7&lt;'Project Inputs'!B10*0.8,"MATERIAL DOWNSIDE","")))</f>
        <v>ENTER INPUT</v>
      </c>
    </row>
    <row r="8" spans="1:8" x14ac:dyDescent="0.25">
      <c r="A8" s="6" t="s">
        <v>87</v>
      </c>
      <c r="B8" s="7">
        <f>'Project Inputs'!B10*0.8</f>
        <v>0</v>
      </c>
      <c r="C8" s="10">
        <f>IFERROR(B8/'Project Inputs'!B10-1,0)</f>
        <v>0</v>
      </c>
      <c r="D8" s="7">
        <f>MAX(0,B8-'Project Inputs'!B9)</f>
        <v>0</v>
      </c>
      <c r="E8" s="7">
        <f>D8/100*'Project Inputs'!B14*'Project Inputs'!B16</f>
        <v>0</v>
      </c>
      <c r="F8" s="7">
        <f>D8/100*'Project Inputs'!B15*'Project Inputs'!B17</f>
        <v>0</v>
      </c>
      <c r="G8" s="7">
        <f t="shared" si="0"/>
        <v>0</v>
      </c>
      <c r="H8" s="29" t="str">
        <f>IF(B8=0,"ENTER INPUT",IF(B8&lt;'Project Inputs'!B9,"NO POSITIVE EXCESS VALUE",IF(B8&lt;'Project Inputs'!B10*0.8,"MATERIAL DOWNSIDE","")))</f>
        <v>ENTER INPUT</v>
      </c>
    </row>
    <row r="9" spans="1:8" x14ac:dyDescent="0.25">
      <c r="A9" s="6" t="s">
        <v>88</v>
      </c>
      <c r="B9" s="7">
        <f>'Project Inputs'!B10*0.7</f>
        <v>0</v>
      </c>
      <c r="C9" s="10">
        <f>IFERROR(B9/'Project Inputs'!B10-1,0)</f>
        <v>0</v>
      </c>
      <c r="D9" s="7">
        <f>MAX(0,B9-'Project Inputs'!B9)</f>
        <v>0</v>
      </c>
      <c r="E9" s="7">
        <f>D9/100*'Project Inputs'!B14*'Project Inputs'!B16</f>
        <v>0</v>
      </c>
      <c r="F9" s="7">
        <f>D9/100*'Project Inputs'!B15*'Project Inputs'!B17</f>
        <v>0</v>
      </c>
      <c r="G9" s="7">
        <f t="shared" si="0"/>
        <v>0</v>
      </c>
      <c r="H9" s="29" t="str">
        <f>IF(B9=0,"ENTER INPUT",IF(B9&lt;'Project Inputs'!B9,"NO POSITIVE EXCESS VALUE",IF(B9&lt;'Project Inputs'!B10*0.8,"MATERIAL DOWNSIDE","")))</f>
        <v>ENTER INPUT</v>
      </c>
    </row>
    <row r="10" spans="1:8" x14ac:dyDescent="0.25">
      <c r="A10" s="6" t="s">
        <v>89</v>
      </c>
      <c r="B10" s="7">
        <f>'Valuation Review'!B19</f>
        <v>0</v>
      </c>
      <c r="C10" s="10">
        <f>IFERROR(B10/'Project Inputs'!B10-1,0)</f>
        <v>0</v>
      </c>
      <c r="D10" s="7">
        <f>MAX(0,B10-'Project Inputs'!B9)</f>
        <v>0</v>
      </c>
      <c r="E10" s="7">
        <f>D10/100*'Project Inputs'!B14*'Project Inputs'!B16</f>
        <v>0</v>
      </c>
      <c r="F10" s="7">
        <f>D10/100*'Project Inputs'!B15*'Project Inputs'!B17</f>
        <v>0</v>
      </c>
      <c r="G10" s="7">
        <f t="shared" si="0"/>
        <v>0</v>
      </c>
      <c r="H10" s="29" t="str">
        <f>IF(B10=0,"ENTER INPUT",IF(B10&lt;'Project Inputs'!B9,"NO POSITIVE EXCESS VALUE",IF(B10&lt;'Project Inputs'!B10*0.8,"MATERIAL DOWNSIDE","")))</f>
        <v>ENTER INPUT</v>
      </c>
    </row>
    <row r="11" spans="1:8" x14ac:dyDescent="0.25">
      <c r="A11" s="6" t="s">
        <v>90</v>
      </c>
      <c r="B11" s="7">
        <f>'Valuation Review'!B20</f>
        <v>0</v>
      </c>
      <c r="C11" s="10">
        <f>IFERROR(B11/'Project Inputs'!B10-1,0)</f>
        <v>0</v>
      </c>
      <c r="D11" s="7">
        <f>MAX(0,B11-'Project Inputs'!B9)</f>
        <v>0</v>
      </c>
      <c r="E11" s="7">
        <f>D11/100*'Project Inputs'!B14*'Project Inputs'!B16</f>
        <v>0</v>
      </c>
      <c r="F11" s="7">
        <f>D11/100*'Project Inputs'!B15*'Project Inputs'!B17</f>
        <v>0</v>
      </c>
      <c r="G11" s="7">
        <f t="shared" si="0"/>
        <v>0</v>
      </c>
      <c r="H11" s="29" t="str">
        <f>IF(B11=0,"ENTER INPUT",IF(B11&lt;'Project Inputs'!B9,"NO POSITIVE EXCESS VALUE",IF(B11&lt;'Project Inputs'!B10*0.8,"MATERIAL DOWNSIDE","")))</f>
        <v>ENTER INPUT</v>
      </c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ht="21.95" customHeight="1" x14ac:dyDescent="0.25">
      <c r="A14" s="35" t="s">
        <v>123</v>
      </c>
      <c r="B14" s="34"/>
      <c r="C14" s="34"/>
      <c r="D14" s="34"/>
      <c r="E14" s="34"/>
      <c r="F14" s="34"/>
      <c r="G14" s="34"/>
      <c r="H14" s="34"/>
    </row>
    <row r="15" spans="1:8" ht="45" x14ac:dyDescent="0.25">
      <c r="A15" s="2" t="s">
        <v>124</v>
      </c>
      <c r="B15" s="2" t="s">
        <v>125</v>
      </c>
      <c r="C15" s="2" t="s">
        <v>126</v>
      </c>
      <c r="D15" s="2" t="s">
        <v>127</v>
      </c>
      <c r="E15" s="2"/>
      <c r="F15" s="2"/>
      <c r="G15" s="2"/>
      <c r="H15" s="2"/>
    </row>
    <row r="16" spans="1:8" x14ac:dyDescent="0.25">
      <c r="A16" s="31">
        <v>0</v>
      </c>
      <c r="B16" s="22">
        <f>'Project Inputs'!B11+A16</f>
        <v>0</v>
      </c>
      <c r="C16" s="5">
        <f>MAX(0,'Tax Increment'!B30-A16*(MAX(0,'Project Inputs'!B22-'Project Inputs'!B9)/100*('Project Inputs'!B14*'Project Inputs'!B16+'Project Inputs'!B15*'Project Inputs'!B17)))</f>
        <v>0</v>
      </c>
      <c r="D16" s="27">
        <f>IFERROR(C16/C16-1,0)</f>
        <v>0</v>
      </c>
      <c r="E16" s="4"/>
      <c r="F16" s="4"/>
      <c r="G16" s="4"/>
      <c r="H16" s="4"/>
    </row>
    <row r="17" spans="1:8" x14ac:dyDescent="0.25">
      <c r="A17" s="17">
        <v>1</v>
      </c>
      <c r="B17" s="24">
        <f>'Project Inputs'!B11+A17</f>
        <v>1</v>
      </c>
      <c r="C17" s="7">
        <f>MAX(0,'Tax Increment'!B30-A17*(MAX(0,'Project Inputs'!B22-'Project Inputs'!B9)/100*('Project Inputs'!B14*'Project Inputs'!B16+'Project Inputs'!B15*'Project Inputs'!B17)))</f>
        <v>0</v>
      </c>
      <c r="D17" s="10">
        <f>IFERROR(C17/C16-1,0)</f>
        <v>0</v>
      </c>
      <c r="E17" s="6"/>
      <c r="F17" s="6"/>
      <c r="G17" s="6"/>
      <c r="H17" s="6"/>
    </row>
    <row r="18" spans="1:8" x14ac:dyDescent="0.25">
      <c r="A18" s="17">
        <v>2</v>
      </c>
      <c r="B18" s="24">
        <f>'Project Inputs'!B11+A18</f>
        <v>2</v>
      </c>
      <c r="C18" s="7">
        <f>MAX(0,'Tax Increment'!B30-A18*(MAX(0,'Project Inputs'!B22-'Project Inputs'!B9)/100*('Project Inputs'!B14*'Project Inputs'!B16+'Project Inputs'!B15*'Project Inputs'!B17)))</f>
        <v>0</v>
      </c>
      <c r="D18" s="10">
        <f>IFERROR(C18/C16-1,0)</f>
        <v>0</v>
      </c>
      <c r="E18" s="6"/>
      <c r="F18" s="6"/>
      <c r="G18" s="6"/>
      <c r="H18" s="6"/>
    </row>
    <row r="19" spans="1:8" x14ac:dyDescent="0.25">
      <c r="A19" s="17">
        <v>3</v>
      </c>
      <c r="B19" s="24">
        <f>'Project Inputs'!B11+A19</f>
        <v>3</v>
      </c>
      <c r="C19" s="7">
        <f>MAX(0,'Tax Increment'!B30-A19*(MAX(0,'Project Inputs'!B22-'Project Inputs'!B9)/100*('Project Inputs'!B14*'Project Inputs'!B16+'Project Inputs'!B15*'Project Inputs'!B17)))</f>
        <v>0</v>
      </c>
      <c r="D19" s="10">
        <f>IFERROR(C19/C16-1,0)</f>
        <v>0</v>
      </c>
      <c r="E19" s="6"/>
      <c r="F19" s="6"/>
      <c r="G19" s="6"/>
      <c r="H19" s="6"/>
    </row>
    <row r="20" spans="1:8" x14ac:dyDescent="0.25">
      <c r="A20" s="1" t="s">
        <v>134</v>
      </c>
      <c r="B20" s="47" t="s">
        <v>133</v>
      </c>
      <c r="C20" s="34"/>
      <c r="D20" s="34"/>
      <c r="E20" s="34"/>
      <c r="F20" s="34"/>
      <c r="G20" s="34"/>
      <c r="H20" s="34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91</v>
      </c>
      <c r="B22" s="46"/>
      <c r="C22" s="34"/>
      <c r="D22" s="34"/>
      <c r="E22" s="34"/>
      <c r="F22" s="34"/>
      <c r="G22" s="34"/>
      <c r="H22" s="34"/>
    </row>
    <row r="23" spans="1:8" x14ac:dyDescent="0.25">
      <c r="A23" s="1"/>
      <c r="B23" s="34"/>
      <c r="C23" s="34"/>
      <c r="D23" s="34"/>
      <c r="E23" s="34"/>
      <c r="F23" s="34"/>
      <c r="G23" s="34"/>
      <c r="H23" s="34"/>
    </row>
    <row r="24" spans="1:8" x14ac:dyDescent="0.25">
      <c r="A24" s="1"/>
      <c r="B24" s="34"/>
      <c r="C24" s="34"/>
      <c r="D24" s="34"/>
      <c r="E24" s="34"/>
      <c r="F24" s="34"/>
      <c r="G24" s="34"/>
      <c r="H24" s="34"/>
    </row>
  </sheetData>
  <mergeCells count="6">
    <mergeCell ref="A4:H4"/>
    <mergeCell ref="B22:H24"/>
    <mergeCell ref="A2:H2"/>
    <mergeCell ref="A14:H14"/>
    <mergeCell ref="A1:H1"/>
    <mergeCell ref="B20:H20"/>
  </mergeCells>
  <printOptions horizontalCentered="1"/>
  <pageMargins left="0.75" right="0.75" top="1" bottom="1" header="0.5" footer="0.5"/>
  <pageSetup fitToHeight="0"/>
  <headerFooter>
    <oddFooter>&amp;CCHIP Tax Increment Reality Check - Planning tool; not an appraisal.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7a5e03-8652-4f2e-8fd7-072a88cb0b7a">
      <Terms xmlns="http://schemas.microsoft.com/office/infopath/2007/PartnerControls"/>
    </lcf76f155ced4ddcb4097134ff3c332f>
    <_Flow_SignoffStatus xmlns="7c7a5e03-8652-4f2e-8fd7-072a88cb0b7a" xsi:nil="true"/>
    <TaxCatchAll xmlns="ade611f2-cbb4-42b6-9f65-8b24117e54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BD98B271F0F419BE1CE8EAF0EB279" ma:contentTypeVersion="18" ma:contentTypeDescription="Create a new document." ma:contentTypeScope="" ma:versionID="d2b6eaf35ab44c0e6997aef0c758cd78">
  <xsd:schema xmlns:xsd="http://www.w3.org/2001/XMLSchema" xmlns:xs="http://www.w3.org/2001/XMLSchema" xmlns:p="http://schemas.microsoft.com/office/2006/metadata/properties" xmlns:ns2="7c7a5e03-8652-4f2e-8fd7-072a88cb0b7a" xmlns:ns3="ade611f2-cbb4-42b6-9f65-8b24117e541a" targetNamespace="http://schemas.microsoft.com/office/2006/metadata/properties" ma:root="true" ma:fieldsID="14f872ac6d2d9db97de4269d46238ba2" ns2:_="" ns3:_="">
    <xsd:import namespace="7c7a5e03-8652-4f2e-8fd7-072a88cb0b7a"/>
    <xsd:import namespace="ade611f2-cbb4-42b6-9f65-8b24117e54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a5e03-8652-4f2e-8fd7-072a88cb0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0594b4-b95b-47b5-a51b-581257ef98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611f2-cbb4-42b6-9f65-8b24117e54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cac264-9d37-440b-bb58-5600680e69a6}" ma:internalName="TaxCatchAll" ma:showField="CatchAllData" ma:web="ade611f2-cbb4-42b6-9f65-8b24117e54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31C0C-36BC-4585-83F1-F03AB01B04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058A55-E1CF-49C6-A3E7-A247FA6AC58E}">
  <ds:schemaRefs>
    <ds:schemaRef ds:uri="http://schemas.microsoft.com/office/2006/metadata/properties"/>
    <ds:schemaRef ds:uri="http://schemas.microsoft.com/office/infopath/2007/PartnerControls"/>
    <ds:schemaRef ds:uri="7c7a5e03-8652-4f2e-8fd7-072a88cb0b7a"/>
    <ds:schemaRef ds:uri="ade611f2-cbb4-42b6-9f65-8b24117e541a"/>
  </ds:schemaRefs>
</ds:datastoreItem>
</file>

<file path=customXml/itemProps3.xml><?xml version="1.0" encoding="utf-8"?>
<ds:datastoreItem xmlns:ds="http://schemas.openxmlformats.org/officeDocument/2006/customXml" ds:itemID="{2AAC48CF-CE83-4839-BA36-CD270199C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7a5e03-8652-4f2e-8fd7-072a88cb0b7a"/>
    <ds:schemaRef ds:uri="ade611f2-cbb4-42b6-9f65-8b24117e54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Project Inputs</vt:lpstr>
      <vt:lpstr>Comparables</vt:lpstr>
      <vt:lpstr>Valuation Review</vt:lpstr>
      <vt:lpstr>Tax Increment</vt:lpstr>
      <vt:lpstr>Stress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Bonnie Waninger</cp:lastModifiedBy>
  <dcterms:created xsi:type="dcterms:W3CDTF">2026-08-17T09:05:53Z</dcterms:created>
  <dcterms:modified xsi:type="dcterms:W3CDTF">2026-09-24T10:09:25Z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0x010100D50BD98B271F0F419BE1CE8EAF0EB279</vt:lpwstr>
  </property>
  <property fmtid="{D5CDD505-2E9C-101B-9397-08002B2CF9AE}" pid="3" name="MediaServiceImageTags">
    <vt:lpwstr/>
  </property>
</Properties>
</file>